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72F90236-A5CB-4FFD-A7B0-60FDF982BE18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gresos x Clasif. Administrat. " sheetId="7" r:id="rId1"/>
    <sheet name="BExRepositorySheet" sheetId="4" state="veryHidden" r:id="rId2"/>
    <sheet name="fuente1" sheetId="6" state="hidden" r:id="rId3"/>
  </sheets>
  <externalReferences>
    <externalReference r:id="rId4"/>
  </externalReferences>
  <definedNames>
    <definedName name="_xlnm.Print_Area" localSheetId="0">'Egresos x Clasif. Administrat. '!$A$1:$I$91</definedName>
    <definedName name="_xlnm.Print_Area" localSheetId="2">fuente1!$A$1:$H$82</definedName>
    <definedName name="_xlnm.Print_Titles" localSheetId="0">'Egresos x Clasif. Administrat. '!$2:$8</definedName>
    <definedName name="_xlnm.Print_Titles" localSheetId="2">fuente1!$A:$B,fuente1!$1:$1</definedName>
  </definedNames>
  <calcPr calcId="181029"/>
  <fileRecoveryPr autoRecover="0"/>
</workbook>
</file>

<file path=xl/calcChain.xml><?xml version="1.0" encoding="utf-8"?>
<calcChain xmlns="http://schemas.openxmlformats.org/spreadsheetml/2006/main">
  <c r="C82" i="6" l="1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F81" i="6"/>
  <c r="D80" i="6"/>
  <c r="F78" i="6"/>
  <c r="D77" i="6"/>
  <c r="F75" i="6"/>
  <c r="D74" i="6"/>
  <c r="F72" i="6"/>
  <c r="D71" i="6"/>
  <c r="F69" i="6"/>
  <c r="D68" i="6"/>
  <c r="F66" i="6"/>
  <c r="D65" i="6"/>
  <c r="F63" i="6"/>
  <c r="D62" i="6"/>
  <c r="F60" i="6"/>
  <c r="D59" i="6"/>
  <c r="F57" i="6"/>
  <c r="D56" i="6"/>
  <c r="F54" i="6"/>
  <c r="D53" i="6"/>
  <c r="F51" i="6"/>
  <c r="D50" i="6"/>
  <c r="F48" i="6"/>
  <c r="D47" i="6"/>
  <c r="F45" i="6"/>
  <c r="D44" i="6"/>
  <c r="F42" i="6"/>
  <c r="D41" i="6"/>
  <c r="F39" i="6"/>
  <c r="D38" i="6"/>
  <c r="G36" i="6"/>
  <c r="F35" i="6"/>
  <c r="E34" i="6"/>
  <c r="D33" i="6"/>
  <c r="H31" i="6"/>
  <c r="G30" i="6"/>
  <c r="F29" i="6"/>
  <c r="E28" i="6"/>
  <c r="D27" i="6"/>
  <c r="H25" i="6"/>
  <c r="G24" i="6"/>
  <c r="F23" i="6"/>
  <c r="E22" i="6"/>
  <c r="D21" i="6"/>
  <c r="H19" i="6"/>
  <c r="G18" i="6"/>
  <c r="F17" i="6"/>
  <c r="E16" i="6"/>
  <c r="D15" i="6"/>
  <c r="H13" i="6"/>
  <c r="G12" i="6"/>
  <c r="F11" i="6"/>
  <c r="E10" i="6"/>
  <c r="D9" i="6"/>
  <c r="H7" i="6"/>
  <c r="G6" i="6"/>
  <c r="F5" i="6"/>
  <c r="E4" i="6"/>
  <c r="D3" i="6"/>
  <c r="G82" i="6"/>
  <c r="E81" i="6"/>
  <c r="G79" i="6"/>
  <c r="E78" i="6"/>
  <c r="G76" i="6"/>
  <c r="E75" i="6"/>
  <c r="G73" i="6"/>
  <c r="E72" i="6"/>
  <c r="G70" i="6"/>
  <c r="E69" i="6"/>
  <c r="G67" i="6"/>
  <c r="E66" i="6"/>
  <c r="G64" i="6"/>
  <c r="E63" i="6"/>
  <c r="G61" i="6"/>
  <c r="E60" i="6"/>
  <c r="G58" i="6"/>
  <c r="E57" i="6"/>
  <c r="G55" i="6"/>
  <c r="E54" i="6"/>
  <c r="G52" i="6"/>
  <c r="E51" i="6"/>
  <c r="G49" i="6"/>
  <c r="E48" i="6"/>
  <c r="G46" i="6"/>
  <c r="E45" i="6"/>
  <c r="G43" i="6"/>
  <c r="E42" i="6"/>
  <c r="G40" i="6"/>
  <c r="E39" i="6"/>
  <c r="G37" i="6"/>
  <c r="F36" i="6"/>
  <c r="E35" i="6"/>
  <c r="D34" i="6"/>
  <c r="H32" i="6"/>
  <c r="G31" i="6"/>
  <c r="F30" i="6"/>
  <c r="E29" i="6"/>
  <c r="D28" i="6"/>
  <c r="H26" i="6"/>
  <c r="G25" i="6"/>
  <c r="F24" i="6"/>
  <c r="E23" i="6"/>
  <c r="D22" i="6"/>
  <c r="H20" i="6"/>
  <c r="G19" i="6"/>
  <c r="F18" i="6"/>
  <c r="E17" i="6"/>
  <c r="D16" i="6"/>
  <c r="H14" i="6"/>
  <c r="G13" i="6"/>
  <c r="F12" i="6"/>
  <c r="E11" i="6"/>
  <c r="D10" i="6"/>
  <c r="H8" i="6"/>
  <c r="G7" i="6"/>
  <c r="F6" i="6"/>
  <c r="E5" i="6"/>
  <c r="D4" i="6"/>
  <c r="H2" i="6"/>
  <c r="F82" i="6"/>
  <c r="D81" i="6"/>
  <c r="F79" i="6"/>
  <c r="D78" i="6"/>
  <c r="F76" i="6"/>
  <c r="D75" i="6"/>
  <c r="F73" i="6"/>
  <c r="D72" i="6"/>
  <c r="F70" i="6"/>
  <c r="D69" i="6"/>
  <c r="F67" i="6"/>
  <c r="D66" i="6"/>
  <c r="F64" i="6"/>
  <c r="D63" i="6"/>
  <c r="F61" i="6"/>
  <c r="D60" i="6"/>
  <c r="F58" i="6"/>
  <c r="D57" i="6"/>
  <c r="F55" i="6"/>
  <c r="D54" i="6"/>
  <c r="F52" i="6"/>
  <c r="D51" i="6"/>
  <c r="F49" i="6"/>
  <c r="D48" i="6"/>
  <c r="F46" i="6"/>
  <c r="D45" i="6"/>
  <c r="F43" i="6"/>
  <c r="D42" i="6"/>
  <c r="F40" i="6"/>
  <c r="D39" i="6"/>
  <c r="F37" i="6"/>
  <c r="E36" i="6"/>
  <c r="D35" i="6"/>
  <c r="H33" i="6"/>
  <c r="G32" i="6"/>
  <c r="F31" i="6"/>
  <c r="E30" i="6"/>
  <c r="D29" i="6"/>
  <c r="H27" i="6"/>
  <c r="G26" i="6"/>
  <c r="F25" i="6"/>
  <c r="E24" i="6"/>
  <c r="D23" i="6"/>
  <c r="H21" i="6"/>
  <c r="G20" i="6"/>
  <c r="F19" i="6"/>
  <c r="E18" i="6"/>
  <c r="D17" i="6"/>
  <c r="H15" i="6"/>
  <c r="G14" i="6"/>
  <c r="F13" i="6"/>
  <c r="E12" i="6"/>
  <c r="D11" i="6"/>
  <c r="H9" i="6"/>
  <c r="G8" i="6"/>
  <c r="F7" i="6"/>
  <c r="E6" i="6"/>
  <c r="D5" i="6"/>
  <c r="H3" i="6"/>
  <c r="G2" i="6"/>
  <c r="E82" i="6"/>
  <c r="G80" i="6"/>
  <c r="E79" i="6"/>
  <c r="G77" i="6"/>
  <c r="E76" i="6"/>
  <c r="G74" i="6"/>
  <c r="E73" i="6"/>
  <c r="G71" i="6"/>
  <c r="E70" i="6"/>
  <c r="G68" i="6"/>
  <c r="E67" i="6"/>
  <c r="G65" i="6"/>
  <c r="E64" i="6"/>
  <c r="G62" i="6"/>
  <c r="E61" i="6"/>
  <c r="G59" i="6"/>
  <c r="E58" i="6"/>
  <c r="G56" i="6"/>
  <c r="E55" i="6"/>
  <c r="G53" i="6"/>
  <c r="E52" i="6"/>
  <c r="G50" i="6"/>
  <c r="E49" i="6"/>
  <c r="G47" i="6"/>
  <c r="E46" i="6"/>
  <c r="G44" i="6"/>
  <c r="E43" i="6"/>
  <c r="G41" i="6"/>
  <c r="E40" i="6"/>
  <c r="G38" i="6"/>
  <c r="E37" i="6"/>
  <c r="D36" i="6"/>
  <c r="H34" i="6"/>
  <c r="G33" i="6"/>
  <c r="F32" i="6"/>
  <c r="E31" i="6"/>
  <c r="D30" i="6"/>
  <c r="H28" i="6"/>
  <c r="G27" i="6"/>
  <c r="F26" i="6"/>
  <c r="E25" i="6"/>
  <c r="D24" i="6"/>
  <c r="H22" i="6"/>
  <c r="G21" i="6"/>
  <c r="F20" i="6"/>
  <c r="E19" i="6"/>
  <c r="D18" i="6"/>
  <c r="H16" i="6"/>
  <c r="G15" i="6"/>
  <c r="F14" i="6"/>
  <c r="E13" i="6"/>
  <c r="D12" i="6"/>
  <c r="H10" i="6"/>
  <c r="G9" i="6"/>
  <c r="F8" i="6"/>
  <c r="E7" i="6"/>
  <c r="D6" i="6"/>
  <c r="H4" i="6"/>
  <c r="G3" i="6"/>
  <c r="F2" i="6"/>
  <c r="D82" i="6"/>
  <c r="F80" i="6"/>
  <c r="D79" i="6"/>
  <c r="F77" i="6"/>
  <c r="D76" i="6"/>
  <c r="F74" i="6"/>
  <c r="D73" i="6"/>
  <c r="F71" i="6"/>
  <c r="D70" i="6"/>
  <c r="F68" i="6"/>
  <c r="D67" i="6"/>
  <c r="F65" i="6"/>
  <c r="D64" i="6"/>
  <c r="F62" i="6"/>
  <c r="D61" i="6"/>
  <c r="F59" i="6"/>
  <c r="E74" i="6"/>
  <c r="E65" i="6"/>
  <c r="G57" i="6"/>
  <c r="E53" i="6"/>
  <c r="G48" i="6"/>
  <c r="E44" i="6"/>
  <c r="G39" i="6"/>
  <c r="G35" i="6"/>
  <c r="D32" i="6"/>
  <c r="F28" i="6"/>
  <c r="H24" i="6"/>
  <c r="E21" i="6"/>
  <c r="G17" i="6"/>
  <c r="D14" i="6"/>
  <c r="F10" i="6"/>
  <c r="H6" i="6"/>
  <c r="E3" i="6"/>
  <c r="G81" i="6"/>
  <c r="G72" i="6"/>
  <c r="G63" i="6"/>
  <c r="F56" i="6"/>
  <c r="D52" i="6"/>
  <c r="F47" i="6"/>
  <c r="D43" i="6"/>
  <c r="F38" i="6"/>
  <c r="G34" i="6"/>
  <c r="D31" i="6"/>
  <c r="F27" i="6"/>
  <c r="H23" i="6"/>
  <c r="E20" i="6"/>
  <c r="G16" i="6"/>
  <c r="D13" i="6"/>
  <c r="F9" i="6"/>
  <c r="H5" i="6"/>
  <c r="E2" i="6"/>
  <c r="E80" i="6"/>
  <c r="E71" i="6"/>
  <c r="E62" i="6"/>
  <c r="E56" i="6"/>
  <c r="G51" i="6"/>
  <c r="E47" i="6"/>
  <c r="G42" i="6"/>
  <c r="E38" i="6"/>
  <c r="F34" i="6"/>
  <c r="H30" i="6"/>
  <c r="E27" i="6"/>
  <c r="G23" i="6"/>
  <c r="D20" i="6"/>
  <c r="F16" i="6"/>
  <c r="H12" i="6"/>
  <c r="E9" i="6"/>
  <c r="G5" i="6"/>
  <c r="D2" i="6"/>
  <c r="G78" i="6"/>
  <c r="G69" i="6"/>
  <c r="G60" i="6"/>
  <c r="D55" i="6"/>
  <c r="F50" i="6"/>
  <c r="D46" i="6"/>
  <c r="F41" i="6"/>
  <c r="D37" i="6"/>
  <c r="F33" i="6"/>
  <c r="H29" i="6"/>
  <c r="E26" i="6"/>
  <c r="G22" i="6"/>
  <c r="D19" i="6"/>
  <c r="F15" i="6"/>
  <c r="H11" i="6"/>
  <c r="E8" i="6"/>
  <c r="G4" i="6"/>
  <c r="E77" i="6"/>
  <c r="E68" i="6"/>
  <c r="E59" i="6"/>
  <c r="G54" i="6"/>
  <c r="E50" i="6"/>
  <c r="G45" i="6"/>
  <c r="E41" i="6"/>
  <c r="H36" i="6"/>
  <c r="E33" i="6"/>
  <c r="G29" i="6"/>
  <c r="D26" i="6"/>
  <c r="F22" i="6"/>
  <c r="H18" i="6"/>
  <c r="E15" i="6"/>
  <c r="G11" i="6"/>
  <c r="D8" i="6"/>
  <c r="F4" i="6"/>
  <c r="G75" i="6"/>
  <c r="G66" i="6"/>
  <c r="D58" i="6"/>
  <c r="F53" i="6"/>
  <c r="D49" i="6"/>
  <c r="F44" i="6"/>
  <c r="D40" i="6"/>
  <c r="H35" i="6"/>
  <c r="E32" i="6"/>
  <c r="G28" i="6"/>
  <c r="D25" i="6"/>
  <c r="F21" i="6"/>
  <c r="H17" i="6"/>
  <c r="E14" i="6"/>
  <c r="G10" i="6"/>
  <c r="D7" i="6"/>
  <c r="F3" i="6"/>
</calcChain>
</file>

<file path=xl/sharedStrings.xml><?xml version="1.0" encoding="utf-8"?>
<sst xmlns="http://schemas.openxmlformats.org/spreadsheetml/2006/main" count="265" uniqueCount="183">
  <si>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</si>
  <si>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</si>
  <si>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</si>
  <si>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</si>
  <si>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</si>
  <si>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</si>
  <si>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</si>
  <si>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</si>
  <si>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Total del Gasto</t>
  </si>
  <si>
    <t>Clasificación Administrativa</t>
  </si>
  <si>
    <t>Dependencia</t>
  </si>
  <si>
    <t/>
  </si>
  <si>
    <t>1</t>
  </si>
  <si>
    <t>CONGRESO DEL ESTADO DE MICHOACÁN DE OCAMPO</t>
  </si>
  <si>
    <t>3</t>
  </si>
  <si>
    <t>EJECUTIVO DEL ESTADO</t>
  </si>
  <si>
    <t>4</t>
  </si>
  <si>
    <t>5</t>
  </si>
  <si>
    <t>COORDINACIÓN GENERAL DE COMUNICACIÓN SOCIAL</t>
  </si>
  <si>
    <t>6</t>
  </si>
  <si>
    <t>SECRETARÍA DE GOBIERNO</t>
  </si>
  <si>
    <t>7</t>
  </si>
  <si>
    <t>SECRETARÍA DE FINANZAS Y ADMINISTRACIÓN</t>
  </si>
  <si>
    <t>8</t>
  </si>
  <si>
    <t>SECRETARÍA DE COMUNICACIONES Y OBRAS PUBLICAS</t>
  </si>
  <si>
    <t>9</t>
  </si>
  <si>
    <t>SECRETARÍA DE DESARROLLO RURAL Y AGROALIMENTARIO</t>
  </si>
  <si>
    <t>10</t>
  </si>
  <si>
    <t>SECRETARÍA DE DESARROLLO ECONÓMICO</t>
  </si>
  <si>
    <t>11</t>
  </si>
  <si>
    <t>SECRETARÍA DE TURISMO</t>
  </si>
  <si>
    <t>12</t>
  </si>
  <si>
    <t>SECRETARÍA DE EDUCACIÓN</t>
  </si>
  <si>
    <t>14</t>
  </si>
  <si>
    <t>SECRETARÍA DEL MIGRANTE</t>
  </si>
  <si>
    <t>16</t>
  </si>
  <si>
    <t>SECRETARÍA DE SEGURIDAD PÚBLICA</t>
  </si>
  <si>
    <t>18</t>
  </si>
  <si>
    <t>19</t>
  </si>
  <si>
    <t>SECRETARÍA DE CONTRALORÍA</t>
  </si>
  <si>
    <t>20</t>
  </si>
  <si>
    <t>21</t>
  </si>
  <si>
    <t>SECRETARÍA DE CULTURA</t>
  </si>
  <si>
    <t>23</t>
  </si>
  <si>
    <t>PARTICIPACIONES Y APORTACIONES A MUNICIPIOS</t>
  </si>
  <si>
    <t>25</t>
  </si>
  <si>
    <t>DEUDA PÚBLICA Y OBLIGACIONES FINANCIERAS</t>
  </si>
  <si>
    <t>31</t>
  </si>
  <si>
    <t>INSTITUTO DEL ARTESANO MICHOACANO</t>
  </si>
  <si>
    <t>33</t>
  </si>
  <si>
    <t>COMISIÓN ESTATAL DE CULTURA FÍSICA Y DEPORTE</t>
  </si>
  <si>
    <t>35</t>
  </si>
  <si>
    <t>SISTEMA MICHOACANO DE RADIO Y TELEVISIÓN</t>
  </si>
  <si>
    <t>36</t>
  </si>
  <si>
    <t>CENTRO DE CONVENCIONES DE MORELIA</t>
  </si>
  <si>
    <t>37</t>
  </si>
  <si>
    <t>PARQUE ZOOLÓGICO BENITO JUÁREZ</t>
  </si>
  <si>
    <t>40</t>
  </si>
  <si>
    <t>SISTEMA PARA EL DESARROLLO INTEGRAL DE LA FAMILIA, MICHOACÁN</t>
  </si>
  <si>
    <t>48</t>
  </si>
  <si>
    <t>INSTITUTO DE VIVIENDA DEL ESTADO DE MICHOACÁN DE OCAMPO</t>
  </si>
  <si>
    <t>49</t>
  </si>
  <si>
    <t>COMISIÓN FORESTAL DEL ESTADO</t>
  </si>
  <si>
    <t>50</t>
  </si>
  <si>
    <t>COMISIÓN DE PESCA DEL ESTADO DE MICHOACÁN</t>
  </si>
  <si>
    <t>52</t>
  </si>
  <si>
    <t>COLEGIO DE EDUCACIÓN PROFESIONAL TÉCNICA DEL ESTADO DE MICHOACÁN</t>
  </si>
  <si>
    <t>69</t>
  </si>
  <si>
    <t>TRIBUNAL DE CONCILIACIÓN Y ARBITRAJE</t>
  </si>
  <si>
    <t>71</t>
  </si>
  <si>
    <t>JUNTA LOCAL DE CONCILIACIÓN Y ARBITRAJE</t>
  </si>
  <si>
    <t>74</t>
  </si>
  <si>
    <t>JUNTA DE ASISTENCIA PRIVADA DEL ESTADO DE MICHOACÁN DE OCAMPO</t>
  </si>
  <si>
    <t>75</t>
  </si>
  <si>
    <t>COMISIÓN ESTATAL DE DERECHOS HUMANOS</t>
  </si>
  <si>
    <t>81</t>
  </si>
  <si>
    <t>COMISIÓN ESTATAL DEL AGUA Y GESTIÓN DE CUENCAS</t>
  </si>
  <si>
    <t>82</t>
  </si>
  <si>
    <t>COMITÉ DE ADQUISICIONES DEL PODER EJECUTIVO</t>
  </si>
  <si>
    <t>85</t>
  </si>
  <si>
    <t>INSTITUTO DE DEFENSORÍA PÚBLICA DEL ESTADO DE MICHOACÁN</t>
  </si>
  <si>
    <t>87</t>
  </si>
  <si>
    <t>INSTITUTO ESTATAL DE ESTUDIOS SUPERIORES EN SEGURIDAD Y PROFESIONALIZACIÓN POLICIAL DEL ESTADO DE MICHOACÁN</t>
  </si>
  <si>
    <t>93</t>
  </si>
  <si>
    <t>SISTEMA INTEGRAL DE FINANCIAMIENTO PARA EL DESARROLLO DE  MICHOACÁN</t>
  </si>
  <si>
    <t>94</t>
  </si>
  <si>
    <t>INSTITUTO DE LA JUVENTUD MICHOACANA</t>
  </si>
  <si>
    <t>95</t>
  </si>
  <si>
    <t>SECRETARÍA DE IGUALDAD SUSTANTIVA Y DESARROLLO DE LAS MUJERES MICHOACANAS</t>
  </si>
  <si>
    <t>100</t>
  </si>
  <si>
    <t>22</t>
  </si>
  <si>
    <t>INVERSIÓN MUNICIPAL</t>
  </si>
  <si>
    <t>78</t>
  </si>
  <si>
    <t>80</t>
  </si>
  <si>
    <t xml:space="preserve">
Aprobado (Local)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</si>
  <si>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</si>
  <si>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</si>
  <si>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</si>
  <si>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</si>
  <si>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</si>
  <si>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>(Pesos)</t>
  </si>
  <si>
    <t>2</t>
  </si>
  <si>
    <t>SUPREMO TRIBUNAL DE JUSTICIA</t>
  </si>
  <si>
    <t>17</t>
  </si>
  <si>
    <t>24</t>
  </si>
  <si>
    <t>EROGACIONES ADICIONALES Y PROVISIONES</t>
  </si>
  <si>
    <t>32</t>
  </si>
  <si>
    <t>SECRETARIADO EJECUTIVO DEL SISTEMA ESTATAL DE SEGURIDAD PUBLICA</t>
  </si>
  <si>
    <t>34</t>
  </si>
  <si>
    <t>CONSEJERÍA JURÍDICA DEL EJECUTIVO DEL ESTADO DE MICHOACÁN DE OCAMPO</t>
  </si>
  <si>
    <t>38</t>
  </si>
  <si>
    <t>UNIVERSIDAD MICHOACANA DE SAN NICOLÁS DE HIDALGO</t>
  </si>
  <si>
    <t>41</t>
  </si>
  <si>
    <t>INSTITUTO ELECTORAL DE MICHOACÁN</t>
  </si>
  <si>
    <t>42</t>
  </si>
  <si>
    <t>TRIBUNAL ELECTORAL DEL ESTADO DE MICHOACÁN</t>
  </si>
  <si>
    <t>44</t>
  </si>
  <si>
    <t>TRIBUNAL DE JUSTICIA ADMINISTRATIVA DE MICHOACÁN DE OCAMPO</t>
  </si>
  <si>
    <t>45</t>
  </si>
  <si>
    <t>UNIVERSIDAD VIRTUAL DEL ESTADO DE MICHOACÁN</t>
  </si>
  <si>
    <t>46</t>
  </si>
  <si>
    <t>PROCURADURÍA DE PROTECCIÓN AL AMBIENTE DEL ESTADO DE MICHOACÁN DE OCAMPO</t>
  </si>
  <si>
    <t>47</t>
  </si>
  <si>
    <t>TELEBACHILLERATO MICHOACÁN</t>
  </si>
  <si>
    <t>51</t>
  </si>
  <si>
    <t>COLEGIO DE BACHILLERES DEL ESTADO DE MICHOACÁN</t>
  </si>
  <si>
    <t>53</t>
  </si>
  <si>
    <t>UNIVERSIDAD TECNOLÓGICA DE MORELIA</t>
  </si>
  <si>
    <t>54</t>
  </si>
  <si>
    <t>COLEGIO DE ESTUDIOS CIENTÍFICOS Y TECNOLÓGICOS DEL ESTADO DE MICHOACÁN</t>
  </si>
  <si>
    <t>55</t>
  </si>
  <si>
    <t>58</t>
  </si>
  <si>
    <t>INSTITUTO DE LA INFRAESTRUCTURA FÍSICA EDUCATIVA DEL ESTADO DE MICHOACÁN</t>
  </si>
  <si>
    <t>60</t>
  </si>
  <si>
    <t>UNIVERSIDAD DE LA CIÉNEGA DEL ESTADO DE MICHOACÁN DE OCAMPO</t>
  </si>
  <si>
    <t>63</t>
  </si>
  <si>
    <t>68</t>
  </si>
  <si>
    <t>UNIVERSIDAD INTERCULTURAL INDÍGENA DE MICHOACÁN</t>
  </si>
  <si>
    <t>70</t>
  </si>
  <si>
    <t>COMISIÓN ESTATAL DE ARBITRAJE MEDICO DE MICHOACÁN</t>
  </si>
  <si>
    <t>73</t>
  </si>
  <si>
    <t>79</t>
  </si>
  <si>
    <t>INSTITUTO MICHOACANO DE TRANSPARENCIA, ACCESO A LA INFORMACIÓN Y PROTECCIÓN DE DATOS PERSONALES</t>
  </si>
  <si>
    <t>83</t>
  </si>
  <si>
    <t>UNIVERSIDAD POLITÉCNICA DE URUAPAN, MICHOACÁN</t>
  </si>
  <si>
    <t>84</t>
  </si>
  <si>
    <t>UNIVERSIDAD POLITÉCNICA DE LÁZARO CÁRDENAS, MICHOACÁN</t>
  </si>
  <si>
    <t>88</t>
  </si>
  <si>
    <t>COMISIÓN EJECUTIVA ESTATAL DE ATENCIÓN A VÍCTIMAS</t>
  </si>
  <si>
    <t>89</t>
  </si>
  <si>
    <t>90</t>
  </si>
  <si>
    <t>96</t>
  </si>
  <si>
    <t>98</t>
  </si>
  <si>
    <t>99</t>
  </si>
  <si>
    <t>CONSEJO ESTATAL PARA PREVENIR Y ELIMINAR LA DISCRIMINACIÓN Y LA VIOLENCIA</t>
  </si>
  <si>
    <t>101</t>
  </si>
  <si>
    <t>102</t>
  </si>
  <si>
    <t>103</t>
  </si>
  <si>
    <t>29</t>
  </si>
  <si>
    <t>PROGRAMAS DE INVERSIONES CONCURRENTES</t>
  </si>
  <si>
    <t>GOBIERNO DEL ESTADO DE MICHOACÁN DE OCAMPO</t>
  </si>
  <si>
    <t>JEFATURA DE LA OFICINA DEL GOBERNADOR</t>
  </si>
  <si>
    <t>SERVICIOS DE SALUD DE MICHOACÁN</t>
  </si>
  <si>
    <t>SECRETARÍA DE MEDIO AMBIENTE, CAMBIO CLIMÁTICO Y DESARROLLO TERRITORIAL</t>
  </si>
  <si>
    <t>SECRETARÍA DE DESARROLLO SOCIAL Y HUMANO</t>
  </si>
  <si>
    <t>INSTITUTO DE CAPACITACIÓN PARA EL TRABAJO DEL ESTADO DE MICHOACÁN</t>
  </si>
  <si>
    <t>CENTRO ESTATAL DE CERTIFICACIÓN, ACREDITACIÓN Y CONTROL DE CONFIANZA</t>
  </si>
  <si>
    <t>COMISIÓN COORDINADORA DEL TRANSPORTE PÚBLICO</t>
  </si>
  <si>
    <t>COMISIÓN ESTATAL PARA EL DESARROLLO DE PUEBLOS INDÍGENAS</t>
  </si>
  <si>
    <t>INSTITUTO DE PLANEACIÓN DEL ESTADO DE MICHOACÁN DE OCAMPO</t>
  </si>
  <si>
    <t>CENTRO ESTATAL DE FOMENTO GANADERO DEL ESTADO DE MICHOACÁN DE OCAMPO</t>
  </si>
  <si>
    <t>Régimen Estatal de Protección Social en Salud de Michoacán de Ocampo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</si>
  <si>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</si>
  <si>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</si>
  <si>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COORDINACIÓN DEL SISTEMA PENITENCIARIO DEL ESTADO DE MICHOACÁN DE OCAMPO</t>
  </si>
  <si>
    <t>UNIVERSIDAD TECNOLÓGICA DEL ORIENTE DE MICHOACÁN</t>
  </si>
  <si>
    <t>SECRETARÍA EJECUTIVA DEL SISTEMA ESTATAL DE ANTICORRUPCIÓN</t>
  </si>
  <si>
    <t>CASA DEL ADULTO MAYOR</t>
  </si>
  <si>
    <t>A01</t>
  </si>
  <si>
    <t>AUDITORIA SUPERIOR DE MICHOACAN</t>
  </si>
  <si>
    <t>A13</t>
  </si>
  <si>
    <t>FISCALÍA GENERAL DEL ESTADO DE MICHOACÁN</t>
  </si>
  <si>
    <t>Período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</si>
</sst>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\ #,##0.00"/>
    <numFmt numFmtId="165" formatCode="#,##0.0000000"/>
    <numFmt numFmtId="166" formatCode="#,##0.0000000;\-\ #,##0.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97">
    <xf numFmtId="0" fontId="0" fillId="0" borderId="0"/>
    <xf numFmtId="0" fontId="7" fillId="0" borderId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7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6" borderId="9" applyNumberFormat="0" applyAlignment="0" applyProtection="0"/>
    <xf numFmtId="0" fontId="19" fillId="4" borderId="13" applyNumberFormat="0" applyAlignment="0" applyProtection="0"/>
    <xf numFmtId="0" fontId="12" fillId="4" borderId="9" applyNumberFormat="0" applyAlignment="0" applyProtection="0"/>
    <xf numFmtId="0" fontId="14" fillId="0" borderId="11" applyNumberFormat="0" applyFill="0" applyAlignment="0" applyProtection="0"/>
    <xf numFmtId="0" fontId="13" fillId="5" borderId="10" applyNumberFormat="0" applyAlignment="0" applyProtection="0"/>
    <xf numFmtId="0" fontId="29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20" applyNumberFormat="0" applyFill="0" applyAlignment="0" applyProtection="0"/>
    <xf numFmtId="4" fontId="20" fillId="9" borderId="14" applyNumberFormat="0" applyProtection="0">
      <alignment vertical="center"/>
    </xf>
    <xf numFmtId="4" fontId="21" fillId="9" borderId="14" applyNumberFormat="0" applyProtection="0">
      <alignment vertical="center"/>
    </xf>
    <xf numFmtId="4" fontId="20" fillId="9" borderId="14" applyNumberFormat="0" applyProtection="0">
      <alignment horizontal="left" vertical="center" indent="1"/>
    </xf>
    <xf numFmtId="0" fontId="20" fillId="9" borderId="14" applyNumberFormat="0" applyProtection="0">
      <alignment horizontal="left" vertical="top" indent="1"/>
    </xf>
    <xf numFmtId="4" fontId="20" fillId="10" borderId="0" applyNumberFormat="0" applyProtection="0">
      <alignment horizontal="left" vertical="center" indent="1"/>
    </xf>
    <xf numFmtId="4" fontId="22" fillId="11" borderId="14" applyNumberFormat="0" applyProtection="0">
      <alignment horizontal="right" vertical="center"/>
    </xf>
    <xf numFmtId="4" fontId="22" fillId="12" borderId="14" applyNumberFormat="0" applyProtection="0">
      <alignment horizontal="right" vertical="center"/>
    </xf>
    <xf numFmtId="4" fontId="22" fillId="13" borderId="14" applyNumberFormat="0" applyProtection="0">
      <alignment horizontal="right" vertical="center"/>
    </xf>
    <xf numFmtId="4" fontId="22" fillId="14" borderId="14" applyNumberFormat="0" applyProtection="0">
      <alignment horizontal="right" vertical="center"/>
    </xf>
    <xf numFmtId="4" fontId="22" fillId="15" borderId="14" applyNumberFormat="0" applyProtection="0">
      <alignment horizontal="right" vertical="center"/>
    </xf>
    <xf numFmtId="4" fontId="22" fillId="16" borderId="14" applyNumberFormat="0" applyProtection="0">
      <alignment horizontal="right" vertical="center"/>
    </xf>
    <xf numFmtId="4" fontId="22" fillId="17" borderId="14" applyNumberFormat="0" applyProtection="0">
      <alignment horizontal="right" vertical="center"/>
    </xf>
    <xf numFmtId="4" fontId="22" fillId="18" borderId="14" applyNumberFormat="0" applyProtection="0">
      <alignment horizontal="right" vertical="center"/>
    </xf>
    <xf numFmtId="4" fontId="22" fillId="19" borderId="14" applyNumberFormat="0" applyProtection="0">
      <alignment horizontal="right" vertical="center"/>
    </xf>
    <xf numFmtId="4" fontId="20" fillId="20" borderId="15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2" fillId="10" borderId="14" applyNumberFormat="0" applyProtection="0">
      <alignment horizontal="right" vertical="center"/>
    </xf>
    <xf numFmtId="4" fontId="24" fillId="21" borderId="0" applyNumberFormat="0" applyProtection="0">
      <alignment horizontal="left" vertical="center" indent="1"/>
    </xf>
    <xf numFmtId="4" fontId="24" fillId="10" borderId="0" applyNumberFormat="0" applyProtection="0">
      <alignment horizontal="left" vertical="center" indent="1"/>
    </xf>
    <xf numFmtId="0" fontId="7" fillId="22" borderId="14" applyNumberFormat="0" applyProtection="0">
      <alignment horizontal="left" vertical="center" indent="1"/>
    </xf>
    <xf numFmtId="0" fontId="7" fillId="22" borderId="14" applyNumberFormat="0" applyProtection="0">
      <alignment horizontal="left" vertical="top" indent="1"/>
    </xf>
    <xf numFmtId="0" fontId="7" fillId="10" borderId="14" applyNumberFormat="0" applyProtection="0">
      <alignment horizontal="left" vertical="center" indent="1"/>
    </xf>
    <xf numFmtId="0" fontId="7" fillId="10" borderId="14" applyNumberFormat="0" applyProtection="0">
      <alignment horizontal="left" vertical="top" indent="1"/>
    </xf>
    <xf numFmtId="0" fontId="7" fillId="23" borderId="14" applyNumberFormat="0" applyProtection="0">
      <alignment horizontal="left" vertical="center" indent="1"/>
    </xf>
    <xf numFmtId="0" fontId="7" fillId="23" borderId="14" applyNumberFormat="0" applyProtection="0">
      <alignment horizontal="left" vertical="top" indent="1"/>
    </xf>
    <xf numFmtId="0" fontId="7" fillId="21" borderId="14" applyNumberFormat="0" applyProtection="0">
      <alignment horizontal="left" vertical="center" indent="1"/>
    </xf>
    <xf numFmtId="0" fontId="7" fillId="21" borderId="14" applyNumberFormat="0" applyProtection="0">
      <alignment horizontal="left" vertical="top" indent="1"/>
    </xf>
    <xf numFmtId="0" fontId="7" fillId="24" borderId="16" applyNumberFormat="0">
      <protection locked="0"/>
    </xf>
    <xf numFmtId="4" fontId="22" fillId="25" borderId="14" applyNumberFormat="0" applyProtection="0">
      <alignment vertical="center"/>
    </xf>
    <xf numFmtId="4" fontId="25" fillId="25" borderId="14" applyNumberFormat="0" applyProtection="0">
      <alignment vertical="center"/>
    </xf>
    <xf numFmtId="4" fontId="22" fillId="25" borderId="14" applyNumberFormat="0" applyProtection="0">
      <alignment horizontal="left" vertical="center" indent="1"/>
    </xf>
    <xf numFmtId="0" fontId="22" fillId="25" borderId="14" applyNumberFormat="0" applyProtection="0">
      <alignment horizontal="left" vertical="top" indent="1"/>
    </xf>
    <xf numFmtId="4" fontId="22" fillId="21" borderId="14" applyNumberFormat="0" applyProtection="0">
      <alignment horizontal="right" vertical="center"/>
    </xf>
    <xf numFmtId="4" fontId="25" fillId="21" borderId="14" applyNumberFormat="0" applyProtection="0">
      <alignment horizontal="right" vertical="center"/>
    </xf>
    <xf numFmtId="4" fontId="22" fillId="10" borderId="14" applyNumberFormat="0" applyProtection="0">
      <alignment horizontal="left" vertical="center" indent="1"/>
    </xf>
    <xf numFmtId="0" fontId="22" fillId="10" borderId="14" applyNumberFormat="0" applyProtection="0">
      <alignment horizontal="left" vertical="top" indent="1"/>
    </xf>
    <xf numFmtId="4" fontId="26" fillId="26" borderId="0" applyNumberFormat="0" applyProtection="0">
      <alignment horizontal="left" vertical="center" indent="1"/>
    </xf>
    <xf numFmtId="4" fontId="27" fillId="21" borderId="14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5" fillId="0" borderId="0"/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7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6" borderId="9" applyNumberFormat="0" applyAlignment="0" applyProtection="0"/>
    <xf numFmtId="0" fontId="19" fillId="4" borderId="13" applyNumberFormat="0" applyAlignment="0" applyProtection="0"/>
    <xf numFmtId="0" fontId="12" fillId="4" borderId="9" applyNumberFormat="0" applyAlignment="0" applyProtection="0"/>
    <xf numFmtId="0" fontId="14" fillId="0" borderId="11" applyNumberFormat="0" applyFill="0" applyAlignment="0" applyProtection="0"/>
    <xf numFmtId="0" fontId="13" fillId="5" borderId="10" applyNumberFormat="0" applyAlignment="0" applyProtection="0"/>
    <xf numFmtId="0" fontId="29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22" fillId="10" borderId="14" xfId="53" quotePrefix="1" applyNumberFormat="1">
      <alignment horizontal="left" vertical="center" indent="1"/>
    </xf>
    <xf numFmtId="0" fontId="20" fillId="10" borderId="0" xfId="22" quotePrefix="1" applyNumberFormat="1" applyAlignment="1">
      <alignment horizontal="left" vertical="center" indent="1"/>
    </xf>
    <xf numFmtId="164" fontId="22" fillId="21" borderId="14" xfId="51" applyNumberFormat="1">
      <alignment horizontal="right" vertical="center"/>
    </xf>
    <xf numFmtId="4" fontId="22" fillId="21" borderId="14" xfId="51" applyNumberFormat="1">
      <alignment horizontal="right" vertical="center"/>
    </xf>
    <xf numFmtId="4" fontId="0" fillId="2" borderId="0" xfId="0" applyNumberFormat="1" applyFill="1"/>
    <xf numFmtId="165" fontId="22" fillId="21" borderId="14" xfId="51" applyNumberFormat="1">
      <alignment horizontal="right" vertical="center"/>
    </xf>
    <xf numFmtId="0" fontId="7" fillId="22" borderId="14" xfId="39" quotePrefix="1" applyAlignment="1">
      <alignment horizontal="left" vertical="top" wrapText="1" indent="1"/>
    </xf>
    <xf numFmtId="166" fontId="22" fillId="21" borderId="14" xfId="51" applyNumberFormat="1">
      <alignment horizontal="right" vertical="center"/>
    </xf>
    <xf numFmtId="4" fontId="6" fillId="27" borderId="0" xfId="1" applyNumberFormat="1" applyFont="1" applyFill="1" applyBorder="1" applyAlignment="1">
      <alignment horizontal="center" vertical="center" wrapText="1"/>
    </xf>
    <xf numFmtId="4" fontId="2" fillId="28" borderId="6" xfId="1" applyNumberFormat="1" applyFont="1" applyFill="1" applyBorder="1" applyAlignment="1">
      <alignment horizontal="right" vertical="center"/>
    </xf>
    <xf numFmtId="4" fontId="2" fillId="28" borderId="21" xfId="1" applyNumberFormat="1" applyFont="1" applyFill="1" applyBorder="1" applyAlignment="1">
      <alignment horizontal="right" vertical="center"/>
    </xf>
    <xf numFmtId="4" fontId="10" fillId="28" borderId="8" xfId="1" applyNumberFormat="1" applyFont="1" applyFill="1" applyBorder="1" applyAlignment="1">
      <alignment horizontal="right"/>
    </xf>
    <xf numFmtId="4" fontId="6" fillId="27" borderId="6" xfId="1" applyNumberFormat="1" applyFont="1" applyFill="1" applyBorder="1" applyAlignment="1">
      <alignment horizontal="center" vertical="center"/>
    </xf>
    <xf numFmtId="4" fontId="6" fillId="27" borderId="4" xfId="1" applyNumberFormat="1" applyFont="1" applyFill="1" applyBorder="1" applyAlignment="1">
      <alignment horizontal="center"/>
    </xf>
    <xf numFmtId="4" fontId="6" fillId="27" borderId="5" xfId="1" applyNumberFormat="1" applyFont="1" applyFill="1" applyBorder="1" applyAlignment="1">
      <alignment horizontal="center"/>
    </xf>
    <xf numFmtId="4" fontId="6" fillId="27" borderId="6" xfId="1" applyNumberFormat="1" applyFont="1" applyFill="1" applyBorder="1" applyAlignment="1">
      <alignment horizontal="center" vertical="center"/>
    </xf>
    <xf numFmtId="4" fontId="6" fillId="27" borderId="7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1" applyFont="1" applyFill="1" applyBorder="1" applyAlignment="1">
      <alignment vertical="center"/>
    </xf>
    <xf numFmtId="4" fontId="6" fillId="27" borderId="1" xfId="1" applyNumberFormat="1" applyFont="1" applyFill="1" applyBorder="1" applyAlignment="1">
      <alignment horizontal="center" vertical="center"/>
    </xf>
    <xf numFmtId="4" fontId="2" fillId="28" borderId="1" xfId="1" applyNumberFormat="1" applyFont="1" applyFill="1" applyBorder="1" applyAlignment="1">
      <alignment horizontal="right" vertical="center"/>
    </xf>
    <xf numFmtId="4" fontId="2" fillId="28" borderId="22" xfId="1" applyNumberFormat="1" applyFont="1" applyFill="1" applyBorder="1" applyAlignment="1">
      <alignment horizontal="right" vertical="center"/>
    </xf>
    <xf numFmtId="4" fontId="10" fillId="28" borderId="5" xfId="1" applyNumberFormat="1" applyFont="1" applyFill="1" applyBorder="1" applyAlignment="1">
      <alignment horizontal="right"/>
    </xf>
    <xf numFmtId="0" fontId="1" fillId="28" borderId="21" xfId="1" applyFont="1" applyFill="1" applyBorder="1" applyAlignment="1">
      <alignment horizontal="left" vertical="justify" wrapText="1"/>
    </xf>
    <xf numFmtId="0" fontId="6" fillId="28" borderId="8" xfId="1" applyFont="1" applyFill="1" applyBorder="1" applyAlignment="1">
      <alignment horizontal="center"/>
    </xf>
    <xf numFmtId="0" fontId="7" fillId="2" borderId="22" xfId="1" applyFill="1" applyBorder="1"/>
    <xf numFmtId="0" fontId="6" fillId="27" borderId="6" xfId="1" applyFont="1" applyFill="1" applyBorder="1" applyAlignment="1">
      <alignment horizontal="center" vertical="center"/>
    </xf>
    <xf numFmtId="0" fontId="6" fillId="27" borderId="7" xfId="1" applyFont="1" applyFill="1" applyBorder="1" applyAlignment="1">
      <alignment horizontal="center" vertical="center"/>
    </xf>
    <xf numFmtId="0" fontId="6" fillId="27" borderId="3" xfId="1" applyFont="1" applyFill="1" applyBorder="1" applyAlignment="1">
      <alignment horizontal="center" vertical="center"/>
    </xf>
    <xf numFmtId="0" fontId="6" fillId="27" borderId="4" xfId="1" applyFont="1" applyFill="1" applyBorder="1" applyAlignment="1">
      <alignment horizontal="center" vertical="center"/>
    </xf>
    <xf numFmtId="0" fontId="6" fillId="27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0" fillId="2" borderId="0" xfId="1" applyFont="1" applyFill="1" applyBorder="1"/>
    <xf numFmtId="0" fontId="0" fillId="2" borderId="0" xfId="0" applyFill="1" applyBorder="1"/>
    <xf numFmtId="4" fontId="0" fillId="2" borderId="0" xfId="0" applyNumberFormat="1" applyFill="1" applyBorder="1"/>
  </cellXfs>
  <cellStyles count="97">
    <cellStyle name="Buena 2" xfId="77" xr:uid="{00000000-0005-0000-0000-000001000000}"/>
    <cellStyle name="Bueno" xfId="6" builtinId="26" customBuiltin="1"/>
    <cellStyle name="Cálculo" xfId="11" builtinId="22" customBuiltin="1"/>
    <cellStyle name="Cálculo 2" xfId="82" xr:uid="{00000000-0005-0000-0000-000003000000}"/>
    <cellStyle name="Celda de comprobación" xfId="13" builtinId="23" customBuiltin="1"/>
    <cellStyle name="Celda de comprobación 2" xfId="84" xr:uid="{00000000-0005-0000-0000-000005000000}"/>
    <cellStyle name="Celda vinculada" xfId="12" builtinId="24" customBuiltin="1"/>
    <cellStyle name="Celda vinculada 2" xfId="83" xr:uid="{00000000-0005-0000-0000-000007000000}"/>
    <cellStyle name="Encabezado 1" xfId="2" builtinId="16" customBuiltin="1"/>
    <cellStyle name="Encabezado 4" xfId="5" builtinId="19" customBuiltin="1"/>
    <cellStyle name="Encabezado 4 2" xfId="76" xr:uid="{00000000-0005-0000-0000-00000A000000}"/>
    <cellStyle name="Entrada" xfId="9" builtinId="20" customBuiltin="1"/>
    <cellStyle name="Entrada 2" xfId="80" xr:uid="{00000000-0005-0000-0000-00000C000000}"/>
    <cellStyle name="Incorrecto" xfId="7" builtinId="27" customBuiltin="1"/>
    <cellStyle name="Incorrecto 2" xfId="78" xr:uid="{00000000-0005-0000-0000-00000E000000}"/>
    <cellStyle name="Neutral" xfId="8" builtinId="28" customBuiltin="1"/>
    <cellStyle name="Neutral 2" xfId="79" xr:uid="{00000000-0005-0000-0000-000010000000}"/>
    <cellStyle name="Normal" xfId="0" builtinId="0" customBuiltin="1"/>
    <cellStyle name="Normal 2" xfId="61" xr:uid="{00000000-0005-0000-0000-000012000000}"/>
    <cellStyle name="Normal 2 2" xfId="68" xr:uid="{00000000-0005-0000-0000-000013000000}"/>
    <cellStyle name="Normal 2 2 2" xfId="93" xr:uid="{00000000-0005-0000-0000-000014000000}"/>
    <cellStyle name="Normal 2 3" xfId="90" xr:uid="{00000000-0005-0000-0000-000015000000}"/>
    <cellStyle name="Normal 3" xfId="58" xr:uid="{00000000-0005-0000-0000-000016000000}"/>
    <cellStyle name="Normal 3 2" xfId="62" xr:uid="{00000000-0005-0000-0000-000017000000}"/>
    <cellStyle name="Normal 3 2 2" xfId="69" xr:uid="{00000000-0005-0000-0000-000018000000}"/>
    <cellStyle name="Normal 3 2 2 2" xfId="94" xr:uid="{00000000-0005-0000-0000-000019000000}"/>
    <cellStyle name="Normal 3 2 3" xfId="91" xr:uid="{00000000-0005-0000-0000-00001A000000}"/>
    <cellStyle name="Normal 3 3" xfId="65" xr:uid="{00000000-0005-0000-0000-00001B000000}"/>
    <cellStyle name="Normal 3 3 2" xfId="92" xr:uid="{00000000-0005-0000-0000-00001C000000}"/>
    <cellStyle name="Normal 3 4" xfId="89" xr:uid="{00000000-0005-0000-0000-00001D000000}"/>
    <cellStyle name="Normal 4" xfId="64" xr:uid="{00000000-0005-0000-0000-00001E000000}"/>
    <cellStyle name="Normal 4 2" xfId="70" xr:uid="{00000000-0005-0000-0000-00001F000000}"/>
    <cellStyle name="Normal 4 2 2" xfId="95" xr:uid="{00000000-0005-0000-0000-000020000000}"/>
    <cellStyle name="Normal 5" xfId="72" xr:uid="{00000000-0005-0000-0000-000021000000}"/>
    <cellStyle name="Normal 6" xfId="71" xr:uid="{00000000-0005-0000-0000-000022000000}"/>
    <cellStyle name="Normal 7" xfId="63" xr:uid="{00000000-0005-0000-0000-000023000000}"/>
    <cellStyle name="Normal 8" xfId="1" xr:uid="{00000000-0005-0000-0000-000024000000}"/>
    <cellStyle name="Normal 9" xfId="96" xr:uid="{00000000-0005-0000-0000-000025000000}"/>
    <cellStyle name="Notas" xfId="15" builtinId="10" customBuiltin="1"/>
    <cellStyle name="Notas 2" xfId="86" xr:uid="{00000000-0005-0000-0000-000027000000}"/>
    <cellStyle name="Salida" xfId="10" builtinId="21" customBuiltin="1"/>
    <cellStyle name="Salida 2" xfId="81" xr:uid="{00000000-0005-0000-0000-000029000000}"/>
    <cellStyle name="SAPBEXaggData" xfId="18" xr:uid="{00000000-0005-0000-0000-00002A000000}"/>
    <cellStyle name="SAPBEXaggDataEmph" xfId="19" xr:uid="{00000000-0005-0000-0000-00002B000000}"/>
    <cellStyle name="SAPBEXaggItem" xfId="20" xr:uid="{00000000-0005-0000-0000-00002C000000}"/>
    <cellStyle name="SAPBEXaggItemX" xfId="21" xr:uid="{00000000-0005-0000-0000-00002D000000}"/>
    <cellStyle name="SAPBEXchaText" xfId="22" xr:uid="{00000000-0005-0000-0000-00002E000000}"/>
    <cellStyle name="SAPBEXexcBad7" xfId="23" xr:uid="{00000000-0005-0000-0000-00002F000000}"/>
    <cellStyle name="SAPBEXexcBad8" xfId="24" xr:uid="{00000000-0005-0000-0000-000030000000}"/>
    <cellStyle name="SAPBEXexcBad9" xfId="25" xr:uid="{00000000-0005-0000-0000-000031000000}"/>
    <cellStyle name="SAPBEXexcCritical4" xfId="26" xr:uid="{00000000-0005-0000-0000-000032000000}"/>
    <cellStyle name="SAPBEXexcCritical5" xfId="27" xr:uid="{00000000-0005-0000-0000-000033000000}"/>
    <cellStyle name="SAPBEXexcCritical6" xfId="28" xr:uid="{00000000-0005-0000-0000-000034000000}"/>
    <cellStyle name="SAPBEXexcGood1" xfId="29" xr:uid="{00000000-0005-0000-0000-000035000000}"/>
    <cellStyle name="SAPBEXexcGood2" xfId="30" xr:uid="{00000000-0005-0000-0000-000036000000}"/>
    <cellStyle name="SAPBEXexcGood3" xfId="31" xr:uid="{00000000-0005-0000-0000-000037000000}"/>
    <cellStyle name="SAPBEXfilterDrill" xfId="32" xr:uid="{00000000-0005-0000-0000-000038000000}"/>
    <cellStyle name="SAPBEXfilterItem" xfId="33" xr:uid="{00000000-0005-0000-0000-000039000000}"/>
    <cellStyle name="SAPBEXfilterText" xfId="34" xr:uid="{00000000-0005-0000-0000-00003A000000}"/>
    <cellStyle name="SAPBEXformats" xfId="35" xr:uid="{00000000-0005-0000-0000-00003B000000}"/>
    <cellStyle name="SAPBEXheaderItem" xfId="36" xr:uid="{00000000-0005-0000-0000-00003C000000}"/>
    <cellStyle name="SAPBEXheaderItem 2" xfId="66" xr:uid="{00000000-0005-0000-0000-00003D000000}"/>
    <cellStyle name="SAPBEXheaderItem 3" xfId="59" xr:uid="{00000000-0005-0000-0000-00003E000000}"/>
    <cellStyle name="SAPBEXheaderText" xfId="37" xr:uid="{00000000-0005-0000-0000-00003F000000}"/>
    <cellStyle name="SAPBEXheaderText 2" xfId="67" xr:uid="{00000000-0005-0000-0000-000040000000}"/>
    <cellStyle name="SAPBEXheaderText 3" xfId="60" xr:uid="{00000000-0005-0000-0000-000041000000}"/>
    <cellStyle name="SAPBEXHLevel0" xfId="38" xr:uid="{00000000-0005-0000-0000-000042000000}"/>
    <cellStyle name="SAPBEXHLevel0X" xfId="39" xr:uid="{00000000-0005-0000-0000-000043000000}"/>
    <cellStyle name="SAPBEXHLevel1" xfId="40" xr:uid="{00000000-0005-0000-0000-000044000000}"/>
    <cellStyle name="SAPBEXHLevel1X" xfId="41" xr:uid="{00000000-0005-0000-0000-000045000000}"/>
    <cellStyle name="SAPBEXHLevel2" xfId="42" xr:uid="{00000000-0005-0000-0000-000046000000}"/>
    <cellStyle name="SAPBEXHLevel2X" xfId="43" xr:uid="{00000000-0005-0000-0000-000047000000}"/>
    <cellStyle name="SAPBEXHLevel3" xfId="44" xr:uid="{00000000-0005-0000-0000-000048000000}"/>
    <cellStyle name="SAPBEXHLevel3X" xfId="45" xr:uid="{00000000-0005-0000-0000-000049000000}"/>
    <cellStyle name="SAPBEXinputData" xfId="46" xr:uid="{00000000-0005-0000-0000-00004A000000}"/>
    <cellStyle name="SAPBEXresData" xfId="47" xr:uid="{00000000-0005-0000-0000-00004B000000}"/>
    <cellStyle name="SAPBEXresDataEmph" xfId="48" xr:uid="{00000000-0005-0000-0000-00004C000000}"/>
    <cellStyle name="SAPBEXresItem" xfId="49" xr:uid="{00000000-0005-0000-0000-00004D000000}"/>
    <cellStyle name="SAPBEXresItemX" xfId="50" xr:uid="{00000000-0005-0000-0000-00004E000000}"/>
    <cellStyle name="SAPBEXstdData" xfId="51" xr:uid="{00000000-0005-0000-0000-00004F000000}"/>
    <cellStyle name="SAPBEXstdDataEmph" xfId="52" xr:uid="{00000000-0005-0000-0000-000050000000}"/>
    <cellStyle name="SAPBEXstdItem" xfId="53" xr:uid="{00000000-0005-0000-0000-000051000000}"/>
    <cellStyle name="SAPBEXstdItemX" xfId="54" xr:uid="{00000000-0005-0000-0000-000052000000}"/>
    <cellStyle name="SAPBEXtitle" xfId="55" xr:uid="{00000000-0005-0000-0000-000053000000}"/>
    <cellStyle name="SAPBEXundefined" xfId="56" xr:uid="{00000000-0005-0000-0000-000054000000}"/>
    <cellStyle name="Sheet Title" xfId="57" xr:uid="{00000000-0005-0000-0000-000055000000}"/>
    <cellStyle name="Texto de advertencia" xfId="14" builtinId="11" customBuiltin="1"/>
    <cellStyle name="Texto de advertencia 2" xfId="85" xr:uid="{00000000-0005-0000-0000-000057000000}"/>
    <cellStyle name="Texto explicativo" xfId="16" builtinId="53" customBuiltin="1"/>
    <cellStyle name="Texto explicativo 2" xfId="87" xr:uid="{00000000-0005-0000-0000-000059000000}"/>
    <cellStyle name="Título 1 2" xfId="73" xr:uid="{00000000-0005-0000-0000-00005A000000}"/>
    <cellStyle name="Título 2" xfId="3" builtinId="17" customBuiltin="1"/>
    <cellStyle name="Título 2 2" xfId="74" xr:uid="{00000000-0005-0000-0000-00005C000000}"/>
    <cellStyle name="Título 3" xfId="4" builtinId="18" customBuiltin="1"/>
    <cellStyle name="Título 3 2" xfId="75" xr:uid="{00000000-0005-0000-0000-00005E000000}"/>
    <cellStyle name="Total" xfId="17" builtinId="25" customBuiltin="1"/>
    <cellStyle name="Total 2" xfId="88" xr:uid="{00000000-0005-0000-0000-00006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387350</xdr:colOff>
      <xdr:row>0</xdr:row>
      <xdr:rowOff>0</xdr:rowOff>
    </xdr:to>
    <xdr:pic macro="[1]!DesignIconClicked"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6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 macro="[1]!DesignIconClicked">
      <xdr:nvPicPr>
        <xdr:cNvPr id="3" name="BEx9CRQ3TTPME0MF7JWKDF4QURJ5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 macro="[1]!DesignIconClicked">
      <xdr:nvPicPr>
        <xdr:cNvPr id="4" name="BExME5DWCI1XA61FH1F01RD528G3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5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 macro="[1]!DesignIconClicked">
      <xdr:nvPicPr>
        <xdr:cNvPr id="5" name="BExKTFQXU8LCHB2RMZ1TZLN1DG6P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5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1589741</xdr:colOff>
      <xdr:row>84</xdr:row>
      <xdr:rowOff>87032</xdr:rowOff>
    </xdr:to>
    <xdr:pic macro="[1]!DesignIconClicked">
      <xdr:nvPicPr>
        <xdr:cNvPr id="3" name="BExVRCJJY30DN1F5LDCC5P38MT2K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08800" cy="13265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1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0.85546875" style="1" customWidth="1"/>
    <col min="2" max="2" width="67.7109375" style="1" customWidth="1"/>
    <col min="3" max="3" width="16.42578125" style="6" bestFit="1" customWidth="1"/>
    <col min="4" max="4" width="16.140625" style="6" bestFit="1" customWidth="1"/>
    <col min="5" max="7" width="16.42578125" style="6" bestFit="1" customWidth="1"/>
    <col min="8" max="8" width="15.28515625" style="6" bestFit="1" customWidth="1"/>
    <col min="9" max="9" width="0.85546875" style="1" customWidth="1"/>
    <col min="10" max="16384" width="11.42578125" style="1"/>
  </cols>
  <sheetData>
    <row r="2" spans="1:8" ht="18.75" x14ac:dyDescent="0.3">
      <c r="A2" s="19" t="s">
        <v>160</v>
      </c>
      <c r="B2" s="19"/>
      <c r="C2" s="19"/>
      <c r="D2" s="19"/>
      <c r="E2" s="19"/>
      <c r="F2" s="19"/>
      <c r="G2" s="19"/>
      <c r="H2" s="19"/>
    </row>
    <row r="3" spans="1:8" ht="15.75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8" ht="15" x14ac:dyDescent="0.25">
      <c r="A4" s="21" t="s">
        <v>9</v>
      </c>
      <c r="B4" s="21"/>
      <c r="C4" s="21"/>
      <c r="D4" s="21"/>
      <c r="E4" s="21"/>
      <c r="F4" s="21"/>
      <c r="G4" s="21"/>
      <c r="H4" s="21"/>
    </row>
    <row r="5" spans="1:8" ht="15.75" thickBot="1" x14ac:dyDescent="0.25">
      <c r="A5" s="23" t="s">
        <v>182</v>
      </c>
      <c r="B5" s="23"/>
      <c r="C5" s="22"/>
      <c r="D5" s="22"/>
      <c r="E5" s="22"/>
      <c r="F5" s="22"/>
      <c r="G5" s="22"/>
      <c r="H5" s="22"/>
    </row>
    <row r="6" spans="1:8" ht="15.75" thickBot="1" x14ac:dyDescent="0.25">
      <c r="A6" s="24"/>
      <c r="B6" s="35" t="s">
        <v>100</v>
      </c>
      <c r="C6" s="36"/>
      <c r="D6" s="36"/>
      <c r="E6" s="36"/>
      <c r="F6" s="36"/>
      <c r="G6" s="36"/>
      <c r="H6" s="37"/>
    </row>
    <row r="7" spans="1:8" ht="15.75" thickBot="1" x14ac:dyDescent="0.3">
      <c r="A7" s="24"/>
      <c r="B7" s="33" t="s">
        <v>10</v>
      </c>
      <c r="C7" s="15" t="s">
        <v>1</v>
      </c>
      <c r="D7" s="15"/>
      <c r="E7" s="15"/>
      <c r="F7" s="15"/>
      <c r="G7" s="16"/>
      <c r="H7" s="17" t="s">
        <v>2</v>
      </c>
    </row>
    <row r="8" spans="1:8" ht="30.75" thickBot="1" x14ac:dyDescent="0.25">
      <c r="A8" s="25"/>
      <c r="B8" s="34"/>
      <c r="C8" s="26" t="s">
        <v>3</v>
      </c>
      <c r="D8" s="10" t="s">
        <v>4</v>
      </c>
      <c r="E8" s="14" t="s">
        <v>5</v>
      </c>
      <c r="F8" s="14" t="s">
        <v>6</v>
      </c>
      <c r="G8" s="14" t="s">
        <v>7</v>
      </c>
      <c r="H8" s="18"/>
    </row>
    <row r="9" spans="1:8" ht="15" x14ac:dyDescent="0.2">
      <c r="A9" s="38"/>
      <c r="B9" s="30" t="s">
        <v>13</v>
      </c>
      <c r="C9" s="27">
        <v>800986665</v>
      </c>
      <c r="D9" s="11">
        <v>0</v>
      </c>
      <c r="E9" s="11">
        <v>800986665</v>
      </c>
      <c r="F9" s="11">
        <v>800986632</v>
      </c>
      <c r="G9" s="11">
        <v>800986632</v>
      </c>
      <c r="H9" s="11">
        <v>33</v>
      </c>
    </row>
    <row r="10" spans="1:8" ht="15" x14ac:dyDescent="0.2">
      <c r="A10" s="39"/>
      <c r="B10" s="30" t="s">
        <v>102</v>
      </c>
      <c r="C10" s="28">
        <v>1438592600</v>
      </c>
      <c r="D10" s="12">
        <v>0</v>
      </c>
      <c r="E10" s="12">
        <v>1438592600</v>
      </c>
      <c r="F10" s="12">
        <v>1438592600</v>
      </c>
      <c r="G10" s="12">
        <v>1313485963</v>
      </c>
      <c r="H10" s="12">
        <v>0</v>
      </c>
    </row>
    <row r="11" spans="1:8" ht="15" x14ac:dyDescent="0.2">
      <c r="A11" s="39"/>
      <c r="B11" s="30" t="s">
        <v>15</v>
      </c>
      <c r="C11" s="28">
        <v>97083116</v>
      </c>
      <c r="D11" s="12">
        <v>-30816540.170000002</v>
      </c>
      <c r="E11" s="12">
        <v>66266575.829999998</v>
      </c>
      <c r="F11" s="12">
        <v>66266575.829999998</v>
      </c>
      <c r="G11" s="12">
        <v>51657442.100000001</v>
      </c>
      <c r="H11" s="12">
        <v>0</v>
      </c>
    </row>
    <row r="12" spans="1:8" ht="15" x14ac:dyDescent="0.2">
      <c r="A12" s="39"/>
      <c r="B12" s="30" t="s">
        <v>161</v>
      </c>
      <c r="C12" s="28">
        <v>73053953</v>
      </c>
      <c r="D12" s="12">
        <v>11945208.73</v>
      </c>
      <c r="E12" s="12">
        <v>84999161.730000004</v>
      </c>
      <c r="F12" s="12">
        <v>84996061.730000004</v>
      </c>
      <c r="G12" s="12">
        <v>64910634.210000001</v>
      </c>
      <c r="H12" s="12">
        <v>3100</v>
      </c>
    </row>
    <row r="13" spans="1:8" ht="15" x14ac:dyDescent="0.2">
      <c r="A13" s="39"/>
      <c r="B13" s="30" t="s">
        <v>18</v>
      </c>
      <c r="C13" s="28">
        <v>65041693</v>
      </c>
      <c r="D13" s="12">
        <v>-5827210.6699999999</v>
      </c>
      <c r="E13" s="12">
        <v>59214482.329999998</v>
      </c>
      <c r="F13" s="12">
        <v>59214482.329999998</v>
      </c>
      <c r="G13" s="12">
        <v>51626614.659999996</v>
      </c>
      <c r="H13" s="12">
        <v>0</v>
      </c>
    </row>
    <row r="14" spans="1:8" ht="15" x14ac:dyDescent="0.2">
      <c r="A14" s="39"/>
      <c r="B14" s="30" t="s">
        <v>20</v>
      </c>
      <c r="C14" s="28">
        <v>827297105</v>
      </c>
      <c r="D14" s="12">
        <v>103071382.12</v>
      </c>
      <c r="E14" s="12">
        <v>930368487.12</v>
      </c>
      <c r="F14" s="12">
        <v>929696438.12</v>
      </c>
      <c r="G14" s="12">
        <v>622314505.63999999</v>
      </c>
      <c r="H14" s="12">
        <v>672049</v>
      </c>
    </row>
    <row r="15" spans="1:8" ht="15" x14ac:dyDescent="0.2">
      <c r="A15" s="39"/>
      <c r="B15" s="30" t="s">
        <v>22</v>
      </c>
      <c r="C15" s="28">
        <v>1318875354</v>
      </c>
      <c r="D15" s="12">
        <v>792548751.88999999</v>
      </c>
      <c r="E15" s="12">
        <v>2111424105.8900001</v>
      </c>
      <c r="F15" s="12">
        <v>2085101149.1700001</v>
      </c>
      <c r="G15" s="12">
        <v>1820687643.26</v>
      </c>
      <c r="H15" s="12">
        <v>26322956.719999999</v>
      </c>
    </row>
    <row r="16" spans="1:8" ht="15" x14ac:dyDescent="0.2">
      <c r="A16" s="39"/>
      <c r="B16" s="30" t="s">
        <v>24</v>
      </c>
      <c r="C16" s="28">
        <v>824148934</v>
      </c>
      <c r="D16" s="12">
        <v>2507643614.4499998</v>
      </c>
      <c r="E16" s="12">
        <v>3331792548.4499998</v>
      </c>
      <c r="F16" s="12">
        <v>1222131605.3299999</v>
      </c>
      <c r="G16" s="12">
        <v>1026161640.21</v>
      </c>
      <c r="H16" s="12">
        <v>2109660943.1199999</v>
      </c>
    </row>
    <row r="17" spans="1:8" ht="15" x14ac:dyDescent="0.2">
      <c r="A17" s="39"/>
      <c r="B17" s="30" t="s">
        <v>26</v>
      </c>
      <c r="C17" s="28">
        <v>835851189</v>
      </c>
      <c r="D17" s="12">
        <v>-172370915.06</v>
      </c>
      <c r="E17" s="12">
        <v>663480273.94000006</v>
      </c>
      <c r="F17" s="12">
        <v>663480273.94000006</v>
      </c>
      <c r="G17" s="12">
        <v>466364405.04000002</v>
      </c>
      <c r="H17" s="12">
        <v>0</v>
      </c>
    </row>
    <row r="18" spans="1:8" ht="15" x14ac:dyDescent="0.2">
      <c r="A18" s="39"/>
      <c r="B18" s="30" t="s">
        <v>28</v>
      </c>
      <c r="C18" s="28">
        <v>210095742</v>
      </c>
      <c r="D18" s="12">
        <v>-61369109.990000002</v>
      </c>
      <c r="E18" s="12">
        <v>148726632.00999999</v>
      </c>
      <c r="F18" s="12">
        <v>147476632.00999999</v>
      </c>
      <c r="G18" s="12">
        <v>108989017.84999999</v>
      </c>
      <c r="H18" s="12">
        <v>1250000</v>
      </c>
    </row>
    <row r="19" spans="1:8" ht="15" x14ac:dyDescent="0.2">
      <c r="A19" s="39"/>
      <c r="B19" s="30" t="s">
        <v>30</v>
      </c>
      <c r="C19" s="28">
        <v>213091424</v>
      </c>
      <c r="D19" s="12">
        <v>-67591009.900000006</v>
      </c>
      <c r="E19" s="12">
        <v>145500414.09999999</v>
      </c>
      <c r="F19" s="12">
        <v>140897803.41999999</v>
      </c>
      <c r="G19" s="12">
        <v>103335280.88</v>
      </c>
      <c r="H19" s="12">
        <v>4602610.68</v>
      </c>
    </row>
    <row r="20" spans="1:8" ht="15" x14ac:dyDescent="0.2">
      <c r="A20" s="39"/>
      <c r="B20" s="30" t="s">
        <v>32</v>
      </c>
      <c r="C20" s="28">
        <v>23337751065</v>
      </c>
      <c r="D20" s="12">
        <v>4671163848.9298325</v>
      </c>
      <c r="E20" s="12">
        <v>28008914913.930611</v>
      </c>
      <c r="F20" s="12">
        <v>27961231327.630615</v>
      </c>
      <c r="G20" s="12">
        <v>25560890385.311096</v>
      </c>
      <c r="H20" s="12">
        <v>47683586.300000004</v>
      </c>
    </row>
    <row r="21" spans="1:8" ht="15" x14ac:dyDescent="0.2">
      <c r="A21" s="39"/>
      <c r="B21" s="30" t="s">
        <v>34</v>
      </c>
      <c r="C21" s="28">
        <v>40156718</v>
      </c>
      <c r="D21" s="12">
        <v>-19794417.329999998</v>
      </c>
      <c r="E21" s="12">
        <v>20362300.670000002</v>
      </c>
      <c r="F21" s="12">
        <v>20362300.670000002</v>
      </c>
      <c r="G21" s="12">
        <v>14731484.789999999</v>
      </c>
      <c r="H21" s="12">
        <v>0</v>
      </c>
    </row>
    <row r="22" spans="1:8" ht="15" x14ac:dyDescent="0.2">
      <c r="A22" s="39"/>
      <c r="B22" s="30" t="s">
        <v>36</v>
      </c>
      <c r="C22" s="28">
        <v>3475157681</v>
      </c>
      <c r="D22" s="12">
        <v>1075119364.1800001</v>
      </c>
      <c r="E22" s="12">
        <v>4550277045.1800003</v>
      </c>
      <c r="F22" s="12">
        <v>4548988298.6000004</v>
      </c>
      <c r="G22" s="12">
        <v>3780884748.5599999</v>
      </c>
      <c r="H22" s="12">
        <v>1288746.58</v>
      </c>
    </row>
    <row r="23" spans="1:8" ht="15" x14ac:dyDescent="0.2">
      <c r="A23" s="39"/>
      <c r="B23" s="30" t="s">
        <v>162</v>
      </c>
      <c r="C23" s="28">
        <v>4213319042</v>
      </c>
      <c r="D23" s="12">
        <v>4327082569.29</v>
      </c>
      <c r="E23" s="12">
        <v>8540401611.29</v>
      </c>
      <c r="F23" s="12">
        <v>8533560984.8299999</v>
      </c>
      <c r="G23" s="12">
        <v>8315030747.5</v>
      </c>
      <c r="H23" s="12">
        <v>6840626.46</v>
      </c>
    </row>
    <row r="24" spans="1:8" ht="30" x14ac:dyDescent="0.2">
      <c r="A24" s="39"/>
      <c r="B24" s="30" t="s">
        <v>163</v>
      </c>
      <c r="C24" s="28">
        <v>128546125</v>
      </c>
      <c r="D24" s="12">
        <v>17060960.07</v>
      </c>
      <c r="E24" s="12">
        <v>145607085.06999999</v>
      </c>
      <c r="F24" s="12">
        <v>145510526.59999999</v>
      </c>
      <c r="G24" s="12">
        <v>125417070.26000001</v>
      </c>
      <c r="H24" s="12">
        <v>96558.47</v>
      </c>
    </row>
    <row r="25" spans="1:8" ht="15" x14ac:dyDescent="0.2">
      <c r="A25" s="39"/>
      <c r="B25" s="30" t="s">
        <v>39</v>
      </c>
      <c r="C25" s="28">
        <v>107494076</v>
      </c>
      <c r="D25" s="12">
        <v>-2006259.72</v>
      </c>
      <c r="E25" s="12">
        <v>105487816.28</v>
      </c>
      <c r="F25" s="12">
        <v>105487816.28</v>
      </c>
      <c r="G25" s="12">
        <v>74842888.079999998</v>
      </c>
      <c r="H25" s="12">
        <v>0</v>
      </c>
    </row>
    <row r="26" spans="1:8" ht="15" x14ac:dyDescent="0.2">
      <c r="A26" s="39"/>
      <c r="B26" s="30" t="s">
        <v>164</v>
      </c>
      <c r="C26" s="28">
        <v>172299929</v>
      </c>
      <c r="D26" s="12">
        <v>104155.29</v>
      </c>
      <c r="E26" s="12">
        <v>172404084.28999999</v>
      </c>
      <c r="F26" s="12">
        <v>172134307.38</v>
      </c>
      <c r="G26" s="12">
        <v>64540019.840000004</v>
      </c>
      <c r="H26" s="12">
        <v>269776.90999999997</v>
      </c>
    </row>
    <row r="27" spans="1:8" ht="15" x14ac:dyDescent="0.2">
      <c r="A27" s="39"/>
      <c r="B27" s="30" t="s">
        <v>42</v>
      </c>
      <c r="C27" s="28">
        <v>205141955</v>
      </c>
      <c r="D27" s="12">
        <v>-15965306.529999999</v>
      </c>
      <c r="E27" s="12">
        <v>189176648.47</v>
      </c>
      <c r="F27" s="12">
        <v>189176648.47</v>
      </c>
      <c r="G27" s="12">
        <v>131543978.11</v>
      </c>
      <c r="H27" s="12">
        <v>0</v>
      </c>
    </row>
    <row r="28" spans="1:8" ht="15" x14ac:dyDescent="0.2">
      <c r="A28" s="39"/>
      <c r="B28" s="30" t="s">
        <v>91</v>
      </c>
      <c r="C28" s="28">
        <v>860235220</v>
      </c>
      <c r="D28" s="12">
        <v>-512540688.38999999</v>
      </c>
      <c r="E28" s="12">
        <v>347694531.61000001</v>
      </c>
      <c r="F28" s="12">
        <v>226134393.12</v>
      </c>
      <c r="G28" s="12">
        <v>225498980.22999999</v>
      </c>
      <c r="H28" s="12">
        <v>121560138.48999999</v>
      </c>
    </row>
    <row r="29" spans="1:8" ht="15" x14ac:dyDescent="0.2">
      <c r="A29" s="39"/>
      <c r="B29" s="30" t="s">
        <v>44</v>
      </c>
      <c r="C29" s="28">
        <v>13219339335</v>
      </c>
      <c r="D29" s="12">
        <v>-399344684.95999998</v>
      </c>
      <c r="E29" s="12">
        <v>12819994650.040001</v>
      </c>
      <c r="F29" s="12">
        <v>12819830546</v>
      </c>
      <c r="G29" s="12">
        <v>12819830546</v>
      </c>
      <c r="H29" s="12">
        <v>164104.04</v>
      </c>
    </row>
    <row r="30" spans="1:8" ht="15" x14ac:dyDescent="0.2">
      <c r="A30" s="39"/>
      <c r="B30" s="30" t="s">
        <v>105</v>
      </c>
      <c r="C30" s="28">
        <v>84891270</v>
      </c>
      <c r="D30" s="12">
        <v>-65460311.399999999</v>
      </c>
      <c r="E30" s="12">
        <v>19430958.600000001</v>
      </c>
      <c r="F30" s="12">
        <v>0</v>
      </c>
      <c r="G30" s="12">
        <v>0</v>
      </c>
      <c r="H30" s="12">
        <v>19430958.600000001</v>
      </c>
    </row>
    <row r="31" spans="1:8" ht="15" x14ac:dyDescent="0.2">
      <c r="A31" s="39"/>
      <c r="B31" s="30" t="s">
        <v>46</v>
      </c>
      <c r="C31" s="28">
        <v>3006855732</v>
      </c>
      <c r="D31" s="12">
        <v>-735419909.63</v>
      </c>
      <c r="E31" s="12">
        <v>2271435822.3699999</v>
      </c>
      <c r="F31" s="12">
        <v>1981683266.3499999</v>
      </c>
      <c r="G31" s="12">
        <v>1964859436.8800001</v>
      </c>
      <c r="H31" s="12">
        <v>289752556.01999998</v>
      </c>
    </row>
    <row r="32" spans="1:8" ht="15" x14ac:dyDescent="0.2">
      <c r="A32" s="39"/>
      <c r="B32" s="30" t="s">
        <v>159</v>
      </c>
      <c r="C32" s="28">
        <v>4156730044</v>
      </c>
      <c r="D32" s="12">
        <v>-2054879354</v>
      </c>
      <c r="E32" s="12">
        <v>2101850690</v>
      </c>
      <c r="F32" s="12">
        <v>0</v>
      </c>
      <c r="G32" s="12">
        <v>0</v>
      </c>
      <c r="H32" s="12">
        <v>2101850690</v>
      </c>
    </row>
    <row r="33" spans="1:8" ht="15" x14ac:dyDescent="0.2">
      <c r="A33" s="39"/>
      <c r="B33" s="30" t="s">
        <v>48</v>
      </c>
      <c r="C33" s="28">
        <v>44063969</v>
      </c>
      <c r="D33" s="12">
        <v>-421411.33</v>
      </c>
      <c r="E33" s="12">
        <v>43642557.670000002</v>
      </c>
      <c r="F33" s="12">
        <v>43642557.670000002</v>
      </c>
      <c r="G33" s="12">
        <v>29453244.93</v>
      </c>
      <c r="H33" s="12">
        <v>0</v>
      </c>
    </row>
    <row r="34" spans="1:8" ht="15" x14ac:dyDescent="0.2">
      <c r="A34" s="39"/>
      <c r="B34" s="30" t="s">
        <v>107</v>
      </c>
      <c r="C34" s="28">
        <v>430743193</v>
      </c>
      <c r="D34" s="12">
        <v>-11108094.810000001</v>
      </c>
      <c r="E34" s="12">
        <v>419635098.19</v>
      </c>
      <c r="F34" s="12">
        <v>415677475.50999999</v>
      </c>
      <c r="G34" s="12">
        <v>365461679.74000001</v>
      </c>
      <c r="H34" s="12">
        <v>3957622.68</v>
      </c>
    </row>
    <row r="35" spans="1:8" ht="15" x14ac:dyDescent="0.2">
      <c r="A35" s="39"/>
      <c r="B35" s="30" t="s">
        <v>50</v>
      </c>
      <c r="C35" s="28">
        <v>81250197</v>
      </c>
      <c r="D35" s="12">
        <v>-21935069.300000001</v>
      </c>
      <c r="E35" s="12">
        <v>59315127.700000003</v>
      </c>
      <c r="F35" s="12">
        <v>59315127.700000003</v>
      </c>
      <c r="G35" s="12">
        <v>34390133.920000002</v>
      </c>
      <c r="H35" s="12">
        <v>0</v>
      </c>
    </row>
    <row r="36" spans="1:8" ht="30" x14ac:dyDescent="0.2">
      <c r="A36" s="39"/>
      <c r="B36" s="30" t="s">
        <v>109</v>
      </c>
      <c r="C36" s="28">
        <v>31591758</v>
      </c>
      <c r="D36" s="12">
        <v>-6290607.5300000003</v>
      </c>
      <c r="E36" s="12">
        <v>25301150.469999999</v>
      </c>
      <c r="F36" s="12">
        <v>25301150.469999999</v>
      </c>
      <c r="G36" s="12">
        <v>17863817.18</v>
      </c>
      <c r="H36" s="12">
        <v>0</v>
      </c>
    </row>
    <row r="37" spans="1:8" ht="15" x14ac:dyDescent="0.2">
      <c r="A37" s="39"/>
      <c r="B37" s="30" t="s">
        <v>52</v>
      </c>
      <c r="C37" s="28">
        <v>66370037</v>
      </c>
      <c r="D37" s="12">
        <v>-5957787.7800000003</v>
      </c>
      <c r="E37" s="12">
        <v>60412249.219999999</v>
      </c>
      <c r="F37" s="12">
        <v>60412249.219999999</v>
      </c>
      <c r="G37" s="12">
        <v>47666622.950000003</v>
      </c>
      <c r="H37" s="12">
        <v>0</v>
      </c>
    </row>
    <row r="38" spans="1:8" ht="15" x14ac:dyDescent="0.2">
      <c r="A38" s="39"/>
      <c r="B38" s="30" t="s">
        <v>54</v>
      </c>
      <c r="C38" s="28">
        <v>21948090</v>
      </c>
      <c r="D38" s="12">
        <v>86255.65</v>
      </c>
      <c r="E38" s="12">
        <v>22034345.649999999</v>
      </c>
      <c r="F38" s="12">
        <v>22034345.649999999</v>
      </c>
      <c r="G38" s="12">
        <v>16488523.99</v>
      </c>
      <c r="H38" s="12">
        <v>0</v>
      </c>
    </row>
    <row r="39" spans="1:8" ht="15" x14ac:dyDescent="0.2">
      <c r="A39" s="39"/>
      <c r="B39" s="30" t="s">
        <v>56</v>
      </c>
      <c r="C39" s="28">
        <v>39660849</v>
      </c>
      <c r="D39" s="12">
        <v>5566710.0099999998</v>
      </c>
      <c r="E39" s="12">
        <v>45227559.009999998</v>
      </c>
      <c r="F39" s="12">
        <v>45227559.009999998</v>
      </c>
      <c r="G39" s="12">
        <v>36348373.009999998</v>
      </c>
      <c r="H39" s="12">
        <v>0</v>
      </c>
    </row>
    <row r="40" spans="1:8" ht="15" x14ac:dyDescent="0.2">
      <c r="A40" s="39"/>
      <c r="B40" s="30" t="s">
        <v>111</v>
      </c>
      <c r="C40" s="28">
        <v>2854980913</v>
      </c>
      <c r="D40" s="12">
        <v>541297136.71000004</v>
      </c>
      <c r="E40" s="12">
        <v>3396278049.71</v>
      </c>
      <c r="F40" s="12">
        <v>3396278049.71</v>
      </c>
      <c r="G40" s="12">
        <v>3254528049.71</v>
      </c>
      <c r="H40" s="12">
        <v>0</v>
      </c>
    </row>
    <row r="41" spans="1:8" ht="15" x14ac:dyDescent="0.2">
      <c r="A41" s="39"/>
      <c r="B41" s="30" t="s">
        <v>58</v>
      </c>
      <c r="C41" s="28">
        <v>992786636</v>
      </c>
      <c r="D41" s="12">
        <v>-19993228.190000001</v>
      </c>
      <c r="E41" s="12">
        <v>972793407.80999994</v>
      </c>
      <c r="F41" s="12">
        <v>972425111.89999998</v>
      </c>
      <c r="G41" s="12">
        <v>820584363.50999999</v>
      </c>
      <c r="H41" s="12">
        <v>368295.91</v>
      </c>
    </row>
    <row r="42" spans="1:8" ht="15" x14ac:dyDescent="0.2">
      <c r="A42" s="39"/>
      <c r="B42" s="30" t="s">
        <v>113</v>
      </c>
      <c r="C42" s="28">
        <v>362894579</v>
      </c>
      <c r="D42" s="12">
        <v>0</v>
      </c>
      <c r="E42" s="12">
        <v>362894579</v>
      </c>
      <c r="F42" s="12">
        <v>362894579</v>
      </c>
      <c r="G42" s="12">
        <v>322858917</v>
      </c>
      <c r="H42" s="12">
        <v>0</v>
      </c>
    </row>
    <row r="43" spans="1:8" ht="15" x14ac:dyDescent="0.2">
      <c r="A43" s="39"/>
      <c r="B43" s="30" t="s">
        <v>115</v>
      </c>
      <c r="C43" s="28">
        <v>72247852</v>
      </c>
      <c r="D43" s="12">
        <v>0</v>
      </c>
      <c r="E43" s="12">
        <v>72247852</v>
      </c>
      <c r="F43" s="12">
        <v>72247852</v>
      </c>
      <c r="G43" s="12">
        <v>66906916</v>
      </c>
      <c r="H43" s="12">
        <v>0</v>
      </c>
    </row>
    <row r="44" spans="1:8" ht="15" x14ac:dyDescent="0.2">
      <c r="A44" s="39"/>
      <c r="B44" s="30" t="s">
        <v>117</v>
      </c>
      <c r="C44" s="28">
        <v>114902371</v>
      </c>
      <c r="D44" s="12">
        <v>0</v>
      </c>
      <c r="E44" s="12">
        <v>114902371</v>
      </c>
      <c r="F44" s="12">
        <v>114902371</v>
      </c>
      <c r="G44" s="12">
        <v>104801736</v>
      </c>
      <c r="H44" s="12">
        <v>0</v>
      </c>
    </row>
    <row r="45" spans="1:8" ht="15" x14ac:dyDescent="0.2">
      <c r="A45" s="39"/>
      <c r="B45" s="30" t="s">
        <v>119</v>
      </c>
      <c r="C45" s="28">
        <v>22615121</v>
      </c>
      <c r="D45" s="12">
        <v>-538393</v>
      </c>
      <c r="E45" s="12">
        <v>22076728</v>
      </c>
      <c r="F45" s="12">
        <v>22076728</v>
      </c>
      <c r="G45" s="12">
        <v>21403773</v>
      </c>
      <c r="H45" s="12">
        <v>0</v>
      </c>
    </row>
    <row r="46" spans="1:8" ht="30" x14ac:dyDescent="0.2">
      <c r="A46" s="39"/>
      <c r="B46" s="30" t="s">
        <v>121</v>
      </c>
      <c r="C46" s="28">
        <v>15532479</v>
      </c>
      <c r="D46" s="12">
        <v>-5214620.26</v>
      </c>
      <c r="E46" s="12">
        <v>10317858.74</v>
      </c>
      <c r="F46" s="12">
        <v>10317858.74</v>
      </c>
      <c r="G46" s="12">
        <v>7085226.25</v>
      </c>
      <c r="H46" s="12">
        <v>0</v>
      </c>
    </row>
    <row r="47" spans="1:8" ht="15" x14ac:dyDescent="0.2">
      <c r="A47" s="39"/>
      <c r="B47" s="30" t="s">
        <v>123</v>
      </c>
      <c r="C47" s="28">
        <v>155018606</v>
      </c>
      <c r="D47" s="12">
        <v>-1</v>
      </c>
      <c r="E47" s="12">
        <v>155018605</v>
      </c>
      <c r="F47" s="12">
        <v>155018605</v>
      </c>
      <c r="G47" s="12">
        <v>155018605</v>
      </c>
      <c r="H47" s="12">
        <v>0</v>
      </c>
    </row>
    <row r="48" spans="1:8" ht="15" x14ac:dyDescent="0.2">
      <c r="A48" s="39"/>
      <c r="B48" s="30" t="s">
        <v>60</v>
      </c>
      <c r="C48" s="28">
        <v>52299113</v>
      </c>
      <c r="D48" s="12">
        <v>26259.19</v>
      </c>
      <c r="E48" s="12">
        <v>52325372.189999998</v>
      </c>
      <c r="F48" s="12">
        <v>52325372.189999998</v>
      </c>
      <c r="G48" s="12">
        <v>35988946.630000003</v>
      </c>
      <c r="H48" s="12">
        <v>0</v>
      </c>
    </row>
    <row r="49" spans="1:8" ht="15" x14ac:dyDescent="0.2">
      <c r="A49" s="39"/>
      <c r="B49" s="30" t="s">
        <v>62</v>
      </c>
      <c r="C49" s="28">
        <v>107951592</v>
      </c>
      <c r="D49" s="12">
        <v>-11267410</v>
      </c>
      <c r="E49" s="12">
        <v>96684182</v>
      </c>
      <c r="F49" s="12">
        <v>96684182</v>
      </c>
      <c r="G49" s="12">
        <v>76827365.079999998</v>
      </c>
      <c r="H49" s="12">
        <v>0</v>
      </c>
    </row>
    <row r="50" spans="1:8" ht="15" x14ac:dyDescent="0.2">
      <c r="A50" s="39"/>
      <c r="B50" s="30" t="s">
        <v>64</v>
      </c>
      <c r="C50" s="28">
        <v>55207689</v>
      </c>
      <c r="D50" s="12">
        <v>-5323815.9400000004</v>
      </c>
      <c r="E50" s="12">
        <v>49883873.060000002</v>
      </c>
      <c r="F50" s="12">
        <v>49883873.060000002</v>
      </c>
      <c r="G50" s="12">
        <v>36192631.759999998</v>
      </c>
      <c r="H50" s="12">
        <v>0</v>
      </c>
    </row>
    <row r="51" spans="1:8" ht="15" x14ac:dyDescent="0.2">
      <c r="A51" s="39"/>
      <c r="B51" s="30" t="s">
        <v>125</v>
      </c>
      <c r="C51" s="28">
        <v>1260956108</v>
      </c>
      <c r="D51" s="12">
        <v>333105100.80000001</v>
      </c>
      <c r="E51" s="12">
        <v>1594061208.8</v>
      </c>
      <c r="F51" s="12">
        <v>1594061208.8</v>
      </c>
      <c r="G51" s="12">
        <v>1446234391.8</v>
      </c>
      <c r="H51" s="12">
        <v>0</v>
      </c>
    </row>
    <row r="52" spans="1:8" ht="30" x14ac:dyDescent="0.2">
      <c r="A52" s="39"/>
      <c r="B52" s="30" t="s">
        <v>66</v>
      </c>
      <c r="C52" s="28">
        <v>288677828</v>
      </c>
      <c r="D52" s="12">
        <v>30522167.219999999</v>
      </c>
      <c r="E52" s="12">
        <v>319199995.22000003</v>
      </c>
      <c r="F52" s="12">
        <v>319199995.22000003</v>
      </c>
      <c r="G52" s="12">
        <v>315566607.22000003</v>
      </c>
      <c r="H52" s="12">
        <v>0</v>
      </c>
    </row>
    <row r="53" spans="1:8" ht="15" x14ac:dyDescent="0.2">
      <c r="A53" s="39"/>
      <c r="B53" s="30" t="s">
        <v>127</v>
      </c>
      <c r="C53" s="28">
        <v>59158208</v>
      </c>
      <c r="D53" s="12">
        <v>19751683</v>
      </c>
      <c r="E53" s="12">
        <v>78909891</v>
      </c>
      <c r="F53" s="12">
        <v>78909891</v>
      </c>
      <c r="G53" s="12">
        <v>76444966</v>
      </c>
      <c r="H53" s="12">
        <v>0</v>
      </c>
    </row>
    <row r="54" spans="1:8" ht="30" x14ac:dyDescent="0.2">
      <c r="A54" s="39"/>
      <c r="B54" s="30" t="s">
        <v>129</v>
      </c>
      <c r="C54" s="28">
        <v>923935752</v>
      </c>
      <c r="D54" s="12">
        <v>106265765.5</v>
      </c>
      <c r="E54" s="12">
        <v>1030201517.5</v>
      </c>
      <c r="F54" s="12">
        <v>1030201517.5</v>
      </c>
      <c r="G54" s="12">
        <v>913834468</v>
      </c>
      <c r="H54" s="12">
        <v>0</v>
      </c>
    </row>
    <row r="55" spans="1:8" ht="30" x14ac:dyDescent="0.2">
      <c r="A55" s="39"/>
      <c r="B55" s="30" t="s">
        <v>165</v>
      </c>
      <c r="C55" s="28">
        <v>201718773</v>
      </c>
      <c r="D55" s="12">
        <v>27747409.010000002</v>
      </c>
      <c r="E55" s="12">
        <v>229466182.00999999</v>
      </c>
      <c r="F55" s="12">
        <v>229466182.00999999</v>
      </c>
      <c r="G55" s="12">
        <v>222237249.61000001</v>
      </c>
      <c r="H55" s="12">
        <v>0</v>
      </c>
    </row>
    <row r="56" spans="1:8" ht="30" x14ac:dyDescent="0.2">
      <c r="A56" s="39"/>
      <c r="B56" s="30" t="s">
        <v>132</v>
      </c>
      <c r="C56" s="28">
        <v>572024975</v>
      </c>
      <c r="D56" s="12">
        <v>-11992637.07</v>
      </c>
      <c r="E56" s="12">
        <v>560032337.92999995</v>
      </c>
      <c r="F56" s="12">
        <v>560022380.88</v>
      </c>
      <c r="G56" s="12">
        <v>556842899.88</v>
      </c>
      <c r="H56" s="12">
        <v>9957.0499999999993</v>
      </c>
    </row>
    <row r="57" spans="1:8" ht="15" x14ac:dyDescent="0.2">
      <c r="A57" s="39"/>
      <c r="B57" s="30" t="s">
        <v>134</v>
      </c>
      <c r="C57" s="28">
        <v>77212090</v>
      </c>
      <c r="D57" s="12">
        <v>308596</v>
      </c>
      <c r="E57" s="12">
        <v>77520686</v>
      </c>
      <c r="F57" s="12">
        <v>77520686</v>
      </c>
      <c r="G57" s="12">
        <v>76520686</v>
      </c>
      <c r="H57" s="12">
        <v>0</v>
      </c>
    </row>
    <row r="58" spans="1:8" ht="30" x14ac:dyDescent="0.2">
      <c r="A58" s="39"/>
      <c r="B58" s="30" t="s">
        <v>166</v>
      </c>
      <c r="C58" s="28">
        <v>38225067</v>
      </c>
      <c r="D58" s="12">
        <v>-1695373.79</v>
      </c>
      <c r="E58" s="12">
        <v>36529693.210000001</v>
      </c>
      <c r="F58" s="12">
        <v>36529693.210000001</v>
      </c>
      <c r="G58" s="12">
        <v>29243480.449999999</v>
      </c>
      <c r="H58" s="12">
        <v>0</v>
      </c>
    </row>
    <row r="59" spans="1:8" ht="15" x14ac:dyDescent="0.2">
      <c r="A59" s="39"/>
      <c r="B59" s="30" t="s">
        <v>137</v>
      </c>
      <c r="C59" s="28">
        <v>35620684</v>
      </c>
      <c r="D59" s="12">
        <v>4716650.9000000004</v>
      </c>
      <c r="E59" s="12">
        <v>40337334.899999999</v>
      </c>
      <c r="F59" s="12">
        <v>40337334.899999999</v>
      </c>
      <c r="G59" s="12">
        <v>34946310.899999999</v>
      </c>
      <c r="H59" s="12">
        <v>0</v>
      </c>
    </row>
    <row r="60" spans="1:8" ht="15" x14ac:dyDescent="0.2">
      <c r="A60" s="39"/>
      <c r="B60" s="30" t="s">
        <v>68</v>
      </c>
      <c r="C60" s="28">
        <v>20889072</v>
      </c>
      <c r="D60" s="12">
        <v>-1918803.01</v>
      </c>
      <c r="E60" s="12">
        <v>18970268.989999998</v>
      </c>
      <c r="F60" s="12">
        <v>18970268.989999998</v>
      </c>
      <c r="G60" s="12">
        <v>13908257.51</v>
      </c>
      <c r="H60" s="12">
        <v>0</v>
      </c>
    </row>
    <row r="61" spans="1:8" ht="15" x14ac:dyDescent="0.2">
      <c r="A61" s="39"/>
      <c r="B61" s="30" t="s">
        <v>139</v>
      </c>
      <c r="C61" s="28">
        <v>4788272</v>
      </c>
      <c r="D61" s="12">
        <v>-113440</v>
      </c>
      <c r="E61" s="12">
        <v>4674832</v>
      </c>
      <c r="F61" s="12">
        <v>4674832</v>
      </c>
      <c r="G61" s="12">
        <v>4108866</v>
      </c>
      <c r="H61" s="12">
        <v>0</v>
      </c>
    </row>
    <row r="62" spans="1:8" ht="15" x14ac:dyDescent="0.2">
      <c r="A62" s="39"/>
      <c r="B62" s="30" t="s">
        <v>70</v>
      </c>
      <c r="C62" s="28">
        <v>68147318</v>
      </c>
      <c r="D62" s="12">
        <v>-4293234.28</v>
      </c>
      <c r="E62" s="12">
        <v>63854083.719999999</v>
      </c>
      <c r="F62" s="12">
        <v>63854083.719999999</v>
      </c>
      <c r="G62" s="12">
        <v>45765725.020000003</v>
      </c>
      <c r="H62" s="12">
        <v>0</v>
      </c>
    </row>
    <row r="63" spans="1:8" ht="15" x14ac:dyDescent="0.2">
      <c r="A63" s="39"/>
      <c r="B63" s="30" t="s">
        <v>167</v>
      </c>
      <c r="C63" s="28">
        <v>51812003</v>
      </c>
      <c r="D63" s="12">
        <v>-2666218.9500000002</v>
      </c>
      <c r="E63" s="12">
        <v>49145784.049999997</v>
      </c>
      <c r="F63" s="12">
        <v>49145784.049999997</v>
      </c>
      <c r="G63" s="12">
        <v>36346119.950000003</v>
      </c>
      <c r="H63" s="12">
        <v>0</v>
      </c>
    </row>
    <row r="64" spans="1:8" ht="15" x14ac:dyDescent="0.2">
      <c r="A64" s="39"/>
      <c r="B64" s="30" t="s">
        <v>72</v>
      </c>
      <c r="C64" s="28">
        <v>10031537</v>
      </c>
      <c r="D64" s="12">
        <v>-764536.04</v>
      </c>
      <c r="E64" s="12">
        <v>9267000.9600000009</v>
      </c>
      <c r="F64" s="12">
        <v>9267000.9600000009</v>
      </c>
      <c r="G64" s="12">
        <v>6455954.1100000003</v>
      </c>
      <c r="H64" s="12">
        <v>0</v>
      </c>
    </row>
    <row r="65" spans="1:8" ht="15" x14ac:dyDescent="0.2">
      <c r="A65" s="39"/>
      <c r="B65" s="30" t="s">
        <v>74</v>
      </c>
      <c r="C65" s="28">
        <v>86500000</v>
      </c>
      <c r="D65" s="12">
        <v>0</v>
      </c>
      <c r="E65" s="12">
        <v>86500000</v>
      </c>
      <c r="F65" s="12">
        <v>84920022.75</v>
      </c>
      <c r="G65" s="12">
        <v>66335260.32</v>
      </c>
      <c r="H65" s="12">
        <v>1579977.25</v>
      </c>
    </row>
    <row r="66" spans="1:8" ht="15" x14ac:dyDescent="0.2">
      <c r="A66" s="39"/>
      <c r="B66" s="30" t="s">
        <v>168</v>
      </c>
      <c r="C66" s="28">
        <v>25470102</v>
      </c>
      <c r="D66" s="12">
        <v>-3283206.1</v>
      </c>
      <c r="E66" s="12">
        <v>22186895.899999999</v>
      </c>
      <c r="F66" s="12">
        <v>22186895.899999999</v>
      </c>
      <c r="G66" s="12">
        <v>13040584.65</v>
      </c>
      <c r="H66" s="12">
        <v>0</v>
      </c>
    </row>
    <row r="67" spans="1:8" ht="30" x14ac:dyDescent="0.2">
      <c r="A67" s="39"/>
      <c r="B67" s="30" t="s">
        <v>142</v>
      </c>
      <c r="C67" s="28">
        <v>40020000</v>
      </c>
      <c r="D67" s="12">
        <v>0</v>
      </c>
      <c r="E67" s="12">
        <v>40020000</v>
      </c>
      <c r="F67" s="12">
        <v>40019998.5</v>
      </c>
      <c r="G67" s="12">
        <v>31153304</v>
      </c>
      <c r="H67" s="12">
        <v>1.5</v>
      </c>
    </row>
    <row r="68" spans="1:8" ht="15" x14ac:dyDescent="0.2">
      <c r="A68" s="39"/>
      <c r="B68" s="30" t="s">
        <v>169</v>
      </c>
      <c r="C68" s="28">
        <v>48647772</v>
      </c>
      <c r="D68" s="12">
        <v>-3887401.49</v>
      </c>
      <c r="E68" s="12">
        <v>44760370.509999998</v>
      </c>
      <c r="F68" s="12">
        <v>44760370.509999998</v>
      </c>
      <c r="G68" s="12">
        <v>32775773.289999999</v>
      </c>
      <c r="H68" s="12">
        <v>0</v>
      </c>
    </row>
    <row r="69" spans="1:8" ht="15" x14ac:dyDescent="0.2">
      <c r="A69" s="39"/>
      <c r="B69" s="30" t="s">
        <v>76</v>
      </c>
      <c r="C69" s="28">
        <v>281698103</v>
      </c>
      <c r="D69" s="12">
        <v>448053661.99000001</v>
      </c>
      <c r="E69" s="12">
        <v>729751764.99000001</v>
      </c>
      <c r="F69" s="12">
        <v>705376767.99000001</v>
      </c>
      <c r="G69" s="12">
        <v>644906778.54999995</v>
      </c>
      <c r="H69" s="12">
        <v>24374997</v>
      </c>
    </row>
    <row r="70" spans="1:8" ht="15" x14ac:dyDescent="0.2">
      <c r="A70" s="39"/>
      <c r="B70" s="30" t="s">
        <v>78</v>
      </c>
      <c r="C70" s="28">
        <v>23243359</v>
      </c>
      <c r="D70" s="12">
        <v>-1131316.27</v>
      </c>
      <c r="E70" s="12">
        <v>22112042.73</v>
      </c>
      <c r="F70" s="12">
        <v>22112042.73</v>
      </c>
      <c r="G70" s="12">
        <v>14820669.550000001</v>
      </c>
      <c r="H70" s="12">
        <v>0</v>
      </c>
    </row>
    <row r="71" spans="1:8" ht="15" x14ac:dyDescent="0.2">
      <c r="A71" s="39"/>
      <c r="B71" s="30" t="s">
        <v>144</v>
      </c>
      <c r="C71" s="28">
        <v>7838928</v>
      </c>
      <c r="D71" s="12">
        <v>3617761.18</v>
      </c>
      <c r="E71" s="12">
        <v>11456689.18</v>
      </c>
      <c r="F71" s="12">
        <v>11456689.18</v>
      </c>
      <c r="G71" s="12">
        <v>11456689.18</v>
      </c>
      <c r="H71" s="12">
        <v>0</v>
      </c>
    </row>
    <row r="72" spans="1:8" ht="15" x14ac:dyDescent="0.2">
      <c r="A72" s="39"/>
      <c r="B72" s="30" t="s">
        <v>146</v>
      </c>
      <c r="C72" s="28">
        <v>7423682</v>
      </c>
      <c r="D72" s="12">
        <v>688038</v>
      </c>
      <c r="E72" s="12">
        <v>8111720</v>
      </c>
      <c r="F72" s="12">
        <v>8111720</v>
      </c>
      <c r="G72" s="12">
        <v>7276969</v>
      </c>
      <c r="H72" s="12">
        <v>0</v>
      </c>
    </row>
    <row r="73" spans="1:8" ht="15" x14ac:dyDescent="0.2">
      <c r="A73" s="39"/>
      <c r="B73" s="30" t="s">
        <v>80</v>
      </c>
      <c r="C73" s="28">
        <v>96936420</v>
      </c>
      <c r="D73" s="12">
        <v>-5556208.5999999996</v>
      </c>
      <c r="E73" s="12">
        <v>91380211.400000006</v>
      </c>
      <c r="F73" s="12">
        <v>91380211.400000006</v>
      </c>
      <c r="G73" s="12">
        <v>67702223.939999998</v>
      </c>
      <c r="H73" s="12">
        <v>0</v>
      </c>
    </row>
    <row r="74" spans="1:8" ht="30" x14ac:dyDescent="0.2">
      <c r="A74" s="39"/>
      <c r="B74" s="30" t="s">
        <v>82</v>
      </c>
      <c r="C74" s="28">
        <v>33682238</v>
      </c>
      <c r="D74" s="12">
        <v>-6266974.8899999997</v>
      </c>
      <c r="E74" s="12">
        <v>27415263.109999999</v>
      </c>
      <c r="F74" s="12">
        <v>27415263.109999999</v>
      </c>
      <c r="G74" s="12">
        <v>17225043.93</v>
      </c>
      <c r="H74" s="12">
        <v>0</v>
      </c>
    </row>
    <row r="75" spans="1:8" ht="15" x14ac:dyDescent="0.2">
      <c r="A75" s="39"/>
      <c r="B75" s="30" t="s">
        <v>148</v>
      </c>
      <c r="C75" s="28">
        <v>43908573</v>
      </c>
      <c r="D75" s="12">
        <v>-3141437.92</v>
      </c>
      <c r="E75" s="12">
        <v>40767135.079999998</v>
      </c>
      <c r="F75" s="12">
        <v>40767135.079999998</v>
      </c>
      <c r="G75" s="12">
        <v>27849490.32</v>
      </c>
      <c r="H75" s="12">
        <v>0</v>
      </c>
    </row>
    <row r="76" spans="1:8" ht="30" x14ac:dyDescent="0.2">
      <c r="A76" s="39"/>
      <c r="B76" s="30" t="s">
        <v>170</v>
      </c>
      <c r="C76" s="28">
        <v>51719826</v>
      </c>
      <c r="D76" s="12">
        <v>-9288850.6300000008</v>
      </c>
      <c r="E76" s="12">
        <v>42430975.369999997</v>
      </c>
      <c r="F76" s="12">
        <v>42430975.369999997</v>
      </c>
      <c r="G76" s="12">
        <v>8063809.3799999999</v>
      </c>
      <c r="H76" s="12">
        <v>0</v>
      </c>
    </row>
    <row r="77" spans="1:8" ht="15" x14ac:dyDescent="0.2">
      <c r="A77" s="39"/>
      <c r="B77" s="30" t="s">
        <v>171</v>
      </c>
      <c r="C77" s="28">
        <v>3238966533</v>
      </c>
      <c r="D77" s="12">
        <v>-3238966533</v>
      </c>
      <c r="E77" s="12">
        <v>0</v>
      </c>
      <c r="F77" s="12">
        <v>0</v>
      </c>
      <c r="G77" s="12">
        <v>0</v>
      </c>
      <c r="H77" s="12">
        <v>0</v>
      </c>
    </row>
    <row r="78" spans="1:8" ht="30" x14ac:dyDescent="0.2">
      <c r="A78" s="39"/>
      <c r="B78" s="30" t="s">
        <v>84</v>
      </c>
      <c r="C78" s="28">
        <v>32616020</v>
      </c>
      <c r="D78" s="12">
        <v>95521413.909999996</v>
      </c>
      <c r="E78" s="12">
        <v>128137433.91</v>
      </c>
      <c r="F78" s="12">
        <v>128137433.91</v>
      </c>
      <c r="G78" s="12">
        <v>77426458.599999994</v>
      </c>
      <c r="H78" s="12">
        <v>0</v>
      </c>
    </row>
    <row r="79" spans="1:8" ht="15" x14ac:dyDescent="0.2">
      <c r="A79" s="39"/>
      <c r="B79" s="30" t="s">
        <v>86</v>
      </c>
      <c r="C79" s="28">
        <v>31017458</v>
      </c>
      <c r="D79" s="12">
        <v>-1711552.02</v>
      </c>
      <c r="E79" s="12">
        <v>29305905.98</v>
      </c>
      <c r="F79" s="12">
        <v>29305905.98</v>
      </c>
      <c r="G79" s="12">
        <v>21827675.190000001</v>
      </c>
      <c r="H79" s="12">
        <v>0</v>
      </c>
    </row>
    <row r="80" spans="1:8" ht="30" x14ac:dyDescent="0.2">
      <c r="A80" s="39"/>
      <c r="B80" s="30" t="s">
        <v>88</v>
      </c>
      <c r="C80" s="28">
        <v>112053443</v>
      </c>
      <c r="D80" s="12">
        <v>-41850520.119999997</v>
      </c>
      <c r="E80" s="12">
        <v>70202922.879999995</v>
      </c>
      <c r="F80" s="12">
        <v>70202326.060000002</v>
      </c>
      <c r="G80" s="12">
        <v>58080456.909999996</v>
      </c>
      <c r="H80" s="12">
        <v>596.82000000000005</v>
      </c>
    </row>
    <row r="81" spans="1:8" ht="30" x14ac:dyDescent="0.2">
      <c r="A81" s="39"/>
      <c r="B81" s="30" t="s">
        <v>172</v>
      </c>
      <c r="C81" s="28">
        <v>12344353</v>
      </c>
      <c r="D81" s="12">
        <v>-2014138.6</v>
      </c>
      <c r="E81" s="12">
        <v>10330214.4</v>
      </c>
      <c r="F81" s="12">
        <v>10330214.4</v>
      </c>
      <c r="G81" s="12">
        <v>6342899.4400000004</v>
      </c>
      <c r="H81" s="12">
        <v>0</v>
      </c>
    </row>
    <row r="82" spans="1:8" ht="30" x14ac:dyDescent="0.2">
      <c r="A82" s="39"/>
      <c r="B82" s="30" t="s">
        <v>173</v>
      </c>
      <c r="C82" s="28">
        <v>7268116</v>
      </c>
      <c r="D82" s="12">
        <v>-2909136.45</v>
      </c>
      <c r="E82" s="12">
        <v>4358979.55</v>
      </c>
      <c r="F82" s="12">
        <v>4358979.55</v>
      </c>
      <c r="G82" s="12">
        <v>3297798.68</v>
      </c>
      <c r="H82" s="12">
        <v>0</v>
      </c>
    </row>
    <row r="83" spans="1:8" ht="30" x14ac:dyDescent="0.2">
      <c r="A83" s="39"/>
      <c r="B83" s="30" t="s">
        <v>154</v>
      </c>
      <c r="C83" s="28">
        <v>8629710</v>
      </c>
      <c r="D83" s="12">
        <v>-1810584.74</v>
      </c>
      <c r="E83" s="12">
        <v>6819125.2599999998</v>
      </c>
      <c r="F83" s="12">
        <v>6819125.2599999998</v>
      </c>
      <c r="G83" s="12">
        <v>4690115.63</v>
      </c>
      <c r="H83" s="12">
        <v>0</v>
      </c>
    </row>
    <row r="84" spans="1:8" ht="30" x14ac:dyDescent="0.2">
      <c r="A84" s="39"/>
      <c r="B84" s="30" t="s">
        <v>174</v>
      </c>
      <c r="C84" s="28">
        <v>1221202894</v>
      </c>
      <c r="D84" s="12">
        <v>11910940.1</v>
      </c>
      <c r="E84" s="12">
        <v>1233113834.0999999</v>
      </c>
      <c r="F84" s="12">
        <v>1175477888.8199999</v>
      </c>
      <c r="G84" s="12">
        <v>904667279.23000002</v>
      </c>
      <c r="H84" s="12">
        <v>57635945.280000001</v>
      </c>
    </row>
    <row r="85" spans="1:8" ht="15" x14ac:dyDescent="0.2">
      <c r="A85" s="39"/>
      <c r="B85" s="30" t="s">
        <v>175</v>
      </c>
      <c r="C85" s="28">
        <v>7571894</v>
      </c>
      <c r="D85" s="12">
        <v>234133</v>
      </c>
      <c r="E85" s="12">
        <v>7806027</v>
      </c>
      <c r="F85" s="12">
        <v>7806027</v>
      </c>
      <c r="G85" s="12">
        <v>7369365</v>
      </c>
      <c r="H85" s="12">
        <v>0</v>
      </c>
    </row>
    <row r="86" spans="1:8" ht="15" x14ac:dyDescent="0.2">
      <c r="A86" s="39"/>
      <c r="B86" s="30" t="s">
        <v>176</v>
      </c>
      <c r="C86" s="28">
        <v>20224565</v>
      </c>
      <c r="D86" s="12">
        <v>0</v>
      </c>
      <c r="E86" s="12">
        <v>20224565</v>
      </c>
      <c r="F86" s="12">
        <v>20224565</v>
      </c>
      <c r="G86" s="12">
        <v>18233229</v>
      </c>
      <c r="H86" s="12">
        <v>0</v>
      </c>
    </row>
    <row r="87" spans="1:8" ht="15" x14ac:dyDescent="0.2">
      <c r="A87" s="39"/>
      <c r="B87" s="30" t="s">
        <v>177</v>
      </c>
      <c r="C87" s="28">
        <v>3079194</v>
      </c>
      <c r="D87" s="12">
        <v>-157981.69</v>
      </c>
      <c r="E87" s="12">
        <v>2921212.31</v>
      </c>
      <c r="F87" s="12">
        <v>2921212.31</v>
      </c>
      <c r="G87" s="12">
        <v>1663151.85</v>
      </c>
      <c r="H87" s="12">
        <v>0</v>
      </c>
    </row>
    <row r="88" spans="1:8" ht="15" x14ac:dyDescent="0.2">
      <c r="A88" s="39"/>
      <c r="B88" s="30" t="s">
        <v>179</v>
      </c>
      <c r="C88" s="28">
        <v>150542067</v>
      </c>
      <c r="D88" s="12">
        <v>-3</v>
      </c>
      <c r="E88" s="12">
        <v>150542064</v>
      </c>
      <c r="F88" s="12">
        <v>150542064</v>
      </c>
      <c r="G88" s="12">
        <v>150542064</v>
      </c>
      <c r="H88" s="12">
        <v>0</v>
      </c>
    </row>
    <row r="89" spans="1:8" ht="15.75" thickBot="1" x14ac:dyDescent="0.25">
      <c r="A89" s="39"/>
      <c r="B89" s="30" t="s">
        <v>181</v>
      </c>
      <c r="C89" s="28">
        <v>1475000000</v>
      </c>
      <c r="D89" s="12">
        <v>0</v>
      </c>
      <c r="E89" s="12">
        <v>1475000000</v>
      </c>
      <c r="F89" s="12">
        <v>1475000000</v>
      </c>
      <c r="G89" s="12">
        <v>1255973874</v>
      </c>
      <c r="H89" s="12">
        <v>0</v>
      </c>
    </row>
    <row r="90" spans="1:8" ht="21" customHeight="1" thickBot="1" x14ac:dyDescent="0.3">
      <c r="A90" s="32"/>
      <c r="B90" s="31" t="s">
        <v>8</v>
      </c>
      <c r="C90" s="29">
        <v>75914903948</v>
      </c>
      <c r="D90" s="13">
        <v>7558303291.5698309</v>
      </c>
      <c r="E90" s="13">
        <v>83473207239.570602</v>
      </c>
      <c r="F90" s="13">
        <v>78653830411.690613</v>
      </c>
      <c r="G90" s="13">
        <v>72189635936.161102</v>
      </c>
      <c r="H90" s="13">
        <v>4819376827.8799992</v>
      </c>
    </row>
    <row r="91" spans="1:8" x14ac:dyDescent="0.2">
      <c r="A91" s="40"/>
      <c r="B91" s="40"/>
      <c r="C91" s="41"/>
      <c r="D91" s="41"/>
      <c r="E91" s="41"/>
      <c r="F91" s="41"/>
      <c r="G91" s="41"/>
      <c r="H91" s="41"/>
    </row>
  </sheetData>
  <mergeCells count="8">
    <mergeCell ref="C7:G7"/>
    <mergeCell ref="H7:H8"/>
    <mergeCell ref="A2:H2"/>
    <mergeCell ref="A3:H3"/>
    <mergeCell ref="A4:H4"/>
    <mergeCell ref="A5:H5"/>
    <mergeCell ref="B7:B8"/>
    <mergeCell ref="B6:H6"/>
  </mergeCells>
  <printOptions horizontalCentered="1"/>
  <pageMargins left="0" right="0" top="0" bottom="0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baseColWidth="10" defaultColWidth="11.42578125" defaultRowHeight="12.75" x14ac:dyDescent="0.2"/>
  <cols>
    <col min="1" max="1" width="17.85546875" bestFit="1" customWidth="1"/>
    <col min="2" max="2" width="138.42578125" bestFit="1" customWidth="1"/>
    <col min="3" max="3" width="24.140625" bestFit="1" customWidth="1"/>
    <col min="4" max="4" width="28.42578125" bestFit="1" customWidth="1"/>
    <col min="5" max="5" width="24.140625" bestFit="1" customWidth="1"/>
    <col min="6" max="6" width="19.140625" bestFit="1" customWidth="1"/>
    <col min="7" max="7" width="18" bestFit="1" customWidth="1"/>
    <col min="8" max="8" width="24.140625" bestFit="1" customWidth="1"/>
  </cols>
  <sheetData>
    <row r="1" spans="1:8" ht="25.5" x14ac:dyDescent="0.2">
      <c r="A1" s="3" t="s">
        <v>10</v>
      </c>
      <c r="B1" s="3" t="s">
        <v>11</v>
      </c>
      <c r="C1" s="8" t="s">
        <v>94</v>
      </c>
      <c r="D1" s="8" t="s">
        <v>95</v>
      </c>
      <c r="E1" s="8" t="s">
        <v>96</v>
      </c>
      <c r="F1" s="8" t="s">
        <v>97</v>
      </c>
      <c r="G1" s="8" t="s">
        <v>98</v>
      </c>
      <c r="H1" s="8" t="s">
        <v>99</v>
      </c>
    </row>
    <row r="2" spans="1:8" x14ac:dyDescent="0.2">
      <c r="A2" s="2" t="s">
        <v>12</v>
      </c>
      <c r="B2" s="2" t="s">
        <v>13</v>
      </c>
      <c r="C2" s="5" t="e">
        <f ca="1">[1]!BExGetData("DP_3","00O2TQ2O5Z7FJVQ908TMEO88W","001")</f>
        <v>#NAME?</v>
      </c>
      <c r="D2" s="4" t="e">
        <f ca="1">[1]!BExGetData("DP_3","003N8D85VN5Y8JTZB37OIE4JK","001")</f>
        <v>#NAME?</v>
      </c>
      <c r="E2" s="7" t="e">
        <f ca="1">[1]!BExGetData("DP_3","00O2TQ2O5Z7FNA9G6FR9AOUY9","001")</f>
        <v>#NAME?</v>
      </c>
      <c r="F2" s="5" t="e">
        <f ca="1">[1]!BExGetData("DP_3","003N8D85VN5Y8JTZB37OIEH6O","001")</f>
        <v>#NAME?</v>
      </c>
      <c r="G2" s="5" t="e">
        <f ca="1">[1]!BExGetData("DP_3","003N8D85VN5Y8JTZB37OIENI8","001")</f>
        <v>#NAME?</v>
      </c>
      <c r="H2" s="5" t="e">
        <f ca="1">[1]!BExGetData("DP_3","003N8D85VN5Y504OEKKJ0EP6G","001")</f>
        <v>#NAME?</v>
      </c>
    </row>
    <row r="3" spans="1:8" x14ac:dyDescent="0.2">
      <c r="A3" s="2" t="s">
        <v>101</v>
      </c>
      <c r="B3" s="2" t="s">
        <v>102</v>
      </c>
      <c r="C3" s="5" t="e">
        <f ca="1">[1]!BExGetData("DP_3","00O2TQ2O5Z7FJVQ908TMEO88W","002")</f>
        <v>#NAME?</v>
      </c>
      <c r="D3" s="4" t="e">
        <f ca="1">[1]!BExGetData("DP_3","003N8D85VN5Y8JTZB37OIE4JK","002")</f>
        <v>#NAME?</v>
      </c>
      <c r="E3" s="7" t="e">
        <f ca="1">[1]!BExGetData("DP_3","00O2TQ2O5Z7FNA9G6FR9AOUY9","002")</f>
        <v>#NAME?</v>
      </c>
      <c r="F3" s="5" t="e">
        <f ca="1">[1]!BExGetData("DP_3","003N8D85VN5Y8JTZB37OIEH6O","002")</f>
        <v>#NAME?</v>
      </c>
      <c r="G3" s="5" t="e">
        <f ca="1">[1]!BExGetData("DP_3","003N8D85VN5Y8JTZB37OIENI8","002")</f>
        <v>#NAME?</v>
      </c>
      <c r="H3" s="4" t="e">
        <f ca="1">[1]!BExGetData("DP_3","003N8D85VN5Y504OEKKJ0EP6G","002")</f>
        <v>#NAME?</v>
      </c>
    </row>
    <row r="4" spans="1:8" x14ac:dyDescent="0.2">
      <c r="A4" s="2" t="s">
        <v>14</v>
      </c>
      <c r="B4" s="2" t="s">
        <v>15</v>
      </c>
      <c r="C4" s="5" t="e">
        <f ca="1">[1]!BExGetData("DP_3","00O2TQ2O5Z7FJVQ908TMEO88W","003")</f>
        <v>#NAME?</v>
      </c>
      <c r="D4" s="5" t="e">
        <f ca="1">[1]!BExGetData("DP_3","003N8D85VN5Y8JTZB37OIE4JK","003")</f>
        <v>#NAME?</v>
      </c>
      <c r="E4" s="7" t="e">
        <f ca="1">[1]!BExGetData("DP_3","00O2TQ2O5Z7FNA9G6FR9AOUY9","003")</f>
        <v>#NAME?</v>
      </c>
      <c r="F4" s="5" t="e">
        <f ca="1">[1]!BExGetData("DP_3","003N8D85VN5Y8JTZB37OIEH6O","003")</f>
        <v>#NAME?</v>
      </c>
      <c r="G4" s="5" t="e">
        <f ca="1">[1]!BExGetData("DP_3","003N8D85VN5Y8JTZB37OIENI8","003")</f>
        <v>#NAME?</v>
      </c>
      <c r="H4" s="4" t="e">
        <f ca="1">[1]!BExGetData("DP_3","003N8D85VN5Y504OEKKJ0EP6G","003")</f>
        <v>#NAME?</v>
      </c>
    </row>
    <row r="5" spans="1:8" x14ac:dyDescent="0.2">
      <c r="A5" s="2" t="s">
        <v>16</v>
      </c>
      <c r="B5" s="2" t="s">
        <v>161</v>
      </c>
      <c r="C5" s="5" t="e">
        <f ca="1">[1]!BExGetData("DP_3","00O2TQ2O5Z7FJVQ908TMEO88W","004")</f>
        <v>#NAME?</v>
      </c>
      <c r="D5" s="5" t="e">
        <f ca="1">[1]!BExGetData("DP_3","003N8D85VN5Y8JTZB37OIE4JK","004")</f>
        <v>#NAME?</v>
      </c>
      <c r="E5" s="7" t="e">
        <f ca="1">[1]!BExGetData("DP_3","00O2TQ2O5Z7FNA9G6FR9AOUY9","004")</f>
        <v>#NAME?</v>
      </c>
      <c r="F5" s="5" t="e">
        <f ca="1">[1]!BExGetData("DP_3","003N8D85VN5Y8JTZB37OIEH6O","004")</f>
        <v>#NAME?</v>
      </c>
      <c r="G5" s="5" t="e">
        <f ca="1">[1]!BExGetData("DP_3","003N8D85VN5Y8JTZB37OIENI8","004")</f>
        <v>#NAME?</v>
      </c>
      <c r="H5" s="5" t="e">
        <f ca="1">[1]!BExGetData("DP_3","003N8D85VN5Y504OEKKJ0EP6G","004")</f>
        <v>#NAME?</v>
      </c>
    </row>
    <row r="6" spans="1:8" x14ac:dyDescent="0.2">
      <c r="A6" s="2" t="s">
        <v>17</v>
      </c>
      <c r="B6" s="2" t="s">
        <v>18</v>
      </c>
      <c r="C6" s="5" t="e">
        <f ca="1">[1]!BExGetData("DP_3","00O2TQ2O5Z7FJVQ908TMEO88W","005")</f>
        <v>#NAME?</v>
      </c>
      <c r="D6" s="5" t="e">
        <f ca="1">[1]!BExGetData("DP_3","003N8D85VN5Y8JTZB37OIE4JK","005")</f>
        <v>#NAME?</v>
      </c>
      <c r="E6" s="7" t="e">
        <f ca="1">[1]!BExGetData("DP_3","00O2TQ2O5Z7FNA9G6FR9AOUY9","005")</f>
        <v>#NAME?</v>
      </c>
      <c r="F6" s="5" t="e">
        <f ca="1">[1]!BExGetData("DP_3","003N8D85VN5Y8JTZB37OIEH6O","005")</f>
        <v>#NAME?</v>
      </c>
      <c r="G6" s="5" t="e">
        <f ca="1">[1]!BExGetData("DP_3","003N8D85VN5Y8JTZB37OIENI8","005")</f>
        <v>#NAME?</v>
      </c>
      <c r="H6" s="4" t="e">
        <f ca="1">[1]!BExGetData("DP_3","003N8D85VN5Y504OEKKJ0EP6G","005")</f>
        <v>#NAME?</v>
      </c>
    </row>
    <row r="7" spans="1:8" x14ac:dyDescent="0.2">
      <c r="A7" s="2" t="s">
        <v>19</v>
      </c>
      <c r="B7" s="2" t="s">
        <v>20</v>
      </c>
      <c r="C7" s="5" t="e">
        <f ca="1">[1]!BExGetData("DP_3","00O2TQ2O5Z7FJVQ908TMEO88W","006")</f>
        <v>#NAME?</v>
      </c>
      <c r="D7" s="5" t="e">
        <f ca="1">[1]!BExGetData("DP_3","003N8D85VN5Y8JTZB37OIE4JK","006")</f>
        <v>#NAME?</v>
      </c>
      <c r="E7" s="7" t="e">
        <f ca="1">[1]!BExGetData("DP_3","00O2TQ2O5Z7FNA9G6FR9AOUY9","006")</f>
        <v>#NAME?</v>
      </c>
      <c r="F7" s="5" t="e">
        <f ca="1">[1]!BExGetData("DP_3","003N8D85VN5Y8JTZB37OIEH6O","006")</f>
        <v>#NAME?</v>
      </c>
      <c r="G7" s="5" t="e">
        <f ca="1">[1]!BExGetData("DP_3","003N8D85VN5Y8JTZB37OIENI8","006")</f>
        <v>#NAME?</v>
      </c>
      <c r="H7" s="5" t="e">
        <f ca="1">[1]!BExGetData("DP_3","003N8D85VN5Y504OEKKJ0EP6G","006")</f>
        <v>#NAME?</v>
      </c>
    </row>
    <row r="8" spans="1:8" x14ac:dyDescent="0.2">
      <c r="A8" s="2" t="s">
        <v>21</v>
      </c>
      <c r="B8" s="2" t="s">
        <v>22</v>
      </c>
      <c r="C8" s="5" t="e">
        <f ca="1">[1]!BExGetData("DP_3","00O2TQ2O5Z7FJVQ908TMEO88W","007")</f>
        <v>#NAME?</v>
      </c>
      <c r="D8" s="5" t="e">
        <f ca="1">[1]!BExGetData("DP_3","003N8D85VN5Y8JTZB37OIE4JK","007")</f>
        <v>#NAME?</v>
      </c>
      <c r="E8" s="7" t="e">
        <f ca="1">[1]!BExGetData("DP_3","00O2TQ2O5Z7FNA9G6FR9AOUY9","007")</f>
        <v>#NAME?</v>
      </c>
      <c r="F8" s="5" t="e">
        <f ca="1">[1]!BExGetData("DP_3","003N8D85VN5Y8JTZB37OIEH6O","007")</f>
        <v>#NAME?</v>
      </c>
      <c r="G8" s="5" t="e">
        <f ca="1">[1]!BExGetData("DP_3","003N8D85VN5Y8JTZB37OIENI8","007")</f>
        <v>#NAME?</v>
      </c>
      <c r="H8" s="5" t="e">
        <f ca="1">[1]!BExGetData("DP_3","003N8D85VN5Y504OEKKJ0EP6G","007")</f>
        <v>#NAME?</v>
      </c>
    </row>
    <row r="9" spans="1:8" x14ac:dyDescent="0.2">
      <c r="A9" s="2" t="s">
        <v>23</v>
      </c>
      <c r="B9" s="2" t="s">
        <v>24</v>
      </c>
      <c r="C9" s="5" t="e">
        <f ca="1">[1]!BExGetData("DP_3","00O2TQ2O5Z7FJVQ908TMEO88W","008")</f>
        <v>#NAME?</v>
      </c>
      <c r="D9" s="5" t="e">
        <f ca="1">[1]!BExGetData("DP_3","003N8D85VN5Y8JTZB37OIE4JK","008")</f>
        <v>#NAME?</v>
      </c>
      <c r="E9" s="7" t="e">
        <f ca="1">[1]!BExGetData("DP_3","00O2TQ2O5Z7FNA9G6FR9AOUY9","008")</f>
        <v>#NAME?</v>
      </c>
      <c r="F9" s="5" t="e">
        <f ca="1">[1]!BExGetData("DP_3","003N8D85VN5Y8JTZB37OIEH6O","008")</f>
        <v>#NAME?</v>
      </c>
      <c r="G9" s="5" t="e">
        <f ca="1">[1]!BExGetData("DP_3","003N8D85VN5Y8JTZB37OIENI8","008")</f>
        <v>#NAME?</v>
      </c>
      <c r="H9" s="5" t="e">
        <f ca="1">[1]!BExGetData("DP_3","003N8D85VN5Y504OEKKJ0EP6G","008")</f>
        <v>#NAME?</v>
      </c>
    </row>
    <row r="10" spans="1:8" x14ac:dyDescent="0.2">
      <c r="A10" s="2" t="s">
        <v>25</v>
      </c>
      <c r="B10" s="2" t="s">
        <v>26</v>
      </c>
      <c r="C10" s="5" t="e">
        <f ca="1">[1]!BExGetData("DP_3","00O2TQ2O5Z7FJVQ908TMEO88W","009")</f>
        <v>#NAME?</v>
      </c>
      <c r="D10" s="5" t="e">
        <f ca="1">[1]!BExGetData("DP_3","003N8D85VN5Y8JTZB37OIE4JK","009")</f>
        <v>#NAME?</v>
      </c>
      <c r="E10" s="7" t="e">
        <f ca="1">[1]!BExGetData("DP_3","00O2TQ2O5Z7FNA9G6FR9AOUY9","009")</f>
        <v>#NAME?</v>
      </c>
      <c r="F10" s="5" t="e">
        <f ca="1">[1]!BExGetData("DP_3","003N8D85VN5Y8JTZB37OIEH6O","009")</f>
        <v>#NAME?</v>
      </c>
      <c r="G10" s="5" t="e">
        <f ca="1">[1]!BExGetData("DP_3","003N8D85VN5Y8JTZB37OIENI8","009")</f>
        <v>#NAME?</v>
      </c>
      <c r="H10" s="4" t="e">
        <f ca="1">[1]!BExGetData("DP_3","003N8D85VN5Y504OEKKJ0EP6G","009")</f>
        <v>#NAME?</v>
      </c>
    </row>
    <row r="11" spans="1:8" x14ac:dyDescent="0.2">
      <c r="A11" s="2" t="s">
        <v>27</v>
      </c>
      <c r="B11" s="2" t="s">
        <v>28</v>
      </c>
      <c r="C11" s="5" t="e">
        <f ca="1">[1]!BExGetData("DP_3","00O2TQ2O5Z7FJVQ908TMEO88W","010")</f>
        <v>#NAME?</v>
      </c>
      <c r="D11" s="5" t="e">
        <f ca="1">[1]!BExGetData("DP_3","003N8D85VN5Y8JTZB37OIE4JK","010")</f>
        <v>#NAME?</v>
      </c>
      <c r="E11" s="7" t="e">
        <f ca="1">[1]!BExGetData("DP_3","00O2TQ2O5Z7FNA9G6FR9AOUY9","010")</f>
        <v>#NAME?</v>
      </c>
      <c r="F11" s="5" t="e">
        <f ca="1">[1]!BExGetData("DP_3","003N8D85VN5Y8JTZB37OIEH6O","010")</f>
        <v>#NAME?</v>
      </c>
      <c r="G11" s="5" t="e">
        <f ca="1">[1]!BExGetData("DP_3","003N8D85VN5Y8JTZB37OIENI8","010")</f>
        <v>#NAME?</v>
      </c>
      <c r="H11" s="5" t="e">
        <f ca="1">[1]!BExGetData("DP_3","003N8D85VN5Y504OEKKJ0EP6G","010")</f>
        <v>#NAME?</v>
      </c>
    </row>
    <row r="12" spans="1:8" x14ac:dyDescent="0.2">
      <c r="A12" s="2" t="s">
        <v>29</v>
      </c>
      <c r="B12" s="2" t="s">
        <v>30</v>
      </c>
      <c r="C12" s="5" t="e">
        <f ca="1">[1]!BExGetData("DP_3","00O2TQ2O5Z7FJVQ908TMEO88W","011")</f>
        <v>#NAME?</v>
      </c>
      <c r="D12" s="5" t="e">
        <f ca="1">[1]!BExGetData("DP_3","003N8D85VN5Y8JTZB37OIE4JK","011")</f>
        <v>#NAME?</v>
      </c>
      <c r="E12" s="7" t="e">
        <f ca="1">[1]!BExGetData("DP_3","00O2TQ2O5Z7FNA9G6FR9AOUY9","011")</f>
        <v>#NAME?</v>
      </c>
      <c r="F12" s="5" t="e">
        <f ca="1">[1]!BExGetData("DP_3","003N8D85VN5Y8JTZB37OIEH6O","011")</f>
        <v>#NAME?</v>
      </c>
      <c r="G12" s="5" t="e">
        <f ca="1">[1]!BExGetData("DP_3","003N8D85VN5Y8JTZB37OIENI8","011")</f>
        <v>#NAME?</v>
      </c>
      <c r="H12" s="5" t="e">
        <f ca="1">[1]!BExGetData("DP_3","003N8D85VN5Y504OEKKJ0EP6G","011")</f>
        <v>#NAME?</v>
      </c>
    </row>
    <row r="13" spans="1:8" x14ac:dyDescent="0.2">
      <c r="A13" s="2" t="s">
        <v>31</v>
      </c>
      <c r="B13" s="2" t="s">
        <v>32</v>
      </c>
      <c r="C13" s="5" t="e">
        <f ca="1">[1]!BExGetData("DP_3","00O2TQ2O5Z7FJVQ908TMEO88W","012")</f>
        <v>#NAME?</v>
      </c>
      <c r="D13" s="5" t="e">
        <f ca="1">[1]!BExGetData("DP_3","003N8D85VN5Y8JTZB37OIE4JK","012")</f>
        <v>#NAME?</v>
      </c>
      <c r="E13" s="7" t="e">
        <f ca="1">[1]!BExGetData("DP_3","00O2TQ2O5Z7FNA9G6FR9AOUY9","012")</f>
        <v>#NAME?</v>
      </c>
      <c r="F13" s="5" t="e">
        <f ca="1">[1]!BExGetData("DP_3","003N8D85VN5Y8JTZB37OIEH6O","012")</f>
        <v>#NAME?</v>
      </c>
      <c r="G13" s="5" t="e">
        <f ca="1">[1]!BExGetData("DP_3","003N8D85VN5Y8JTZB37OIENI8","012")</f>
        <v>#NAME?</v>
      </c>
      <c r="H13" s="5" t="e">
        <f ca="1">[1]!BExGetData("DP_3","003N8D85VN5Y504OEKKJ0EP6G","012")</f>
        <v>#NAME?</v>
      </c>
    </row>
    <row r="14" spans="1:8" x14ac:dyDescent="0.2">
      <c r="A14" s="2" t="s">
        <v>33</v>
      </c>
      <c r="B14" s="2" t="s">
        <v>34</v>
      </c>
      <c r="C14" s="5" t="e">
        <f ca="1">[1]!BExGetData("DP_3","00O2TQ2O5Z7FJVQ908TMEO88W","014")</f>
        <v>#NAME?</v>
      </c>
      <c r="D14" s="5" t="e">
        <f ca="1">[1]!BExGetData("DP_3","003N8D85VN5Y8JTZB37OIE4JK","014")</f>
        <v>#NAME?</v>
      </c>
      <c r="E14" s="7" t="e">
        <f ca="1">[1]!BExGetData("DP_3","00O2TQ2O5Z7FNA9G6FR9AOUY9","014")</f>
        <v>#NAME?</v>
      </c>
      <c r="F14" s="5" t="e">
        <f ca="1">[1]!BExGetData("DP_3","003N8D85VN5Y8JTZB37OIEH6O","014")</f>
        <v>#NAME?</v>
      </c>
      <c r="G14" s="5" t="e">
        <f ca="1">[1]!BExGetData("DP_3","003N8D85VN5Y8JTZB37OIENI8","014")</f>
        <v>#NAME?</v>
      </c>
      <c r="H14" s="4" t="e">
        <f ca="1">[1]!BExGetData("DP_3","003N8D85VN5Y504OEKKJ0EP6G","014")</f>
        <v>#NAME?</v>
      </c>
    </row>
    <row r="15" spans="1:8" x14ac:dyDescent="0.2">
      <c r="A15" s="2" t="s">
        <v>35</v>
      </c>
      <c r="B15" s="2" t="s">
        <v>36</v>
      </c>
      <c r="C15" s="5" t="e">
        <f ca="1">[1]!BExGetData("DP_3","00O2TQ2O5Z7FJVQ908TMEO88W","016")</f>
        <v>#NAME?</v>
      </c>
      <c r="D15" s="5" t="e">
        <f ca="1">[1]!BExGetData("DP_3","003N8D85VN5Y8JTZB37OIE4JK","016")</f>
        <v>#NAME?</v>
      </c>
      <c r="E15" s="7" t="e">
        <f ca="1">[1]!BExGetData("DP_3","00O2TQ2O5Z7FNA9G6FR9AOUY9","016")</f>
        <v>#NAME?</v>
      </c>
      <c r="F15" s="5" t="e">
        <f ca="1">[1]!BExGetData("DP_3","003N8D85VN5Y8JTZB37OIEH6O","016")</f>
        <v>#NAME?</v>
      </c>
      <c r="G15" s="5" t="e">
        <f ca="1">[1]!BExGetData("DP_3","003N8D85VN5Y8JTZB37OIENI8","016")</f>
        <v>#NAME?</v>
      </c>
      <c r="H15" s="5" t="e">
        <f ca="1">[1]!BExGetData("DP_3","003N8D85VN5Y504OEKKJ0EP6G","016")</f>
        <v>#NAME?</v>
      </c>
    </row>
    <row r="16" spans="1:8" x14ac:dyDescent="0.2">
      <c r="A16" s="2" t="s">
        <v>103</v>
      </c>
      <c r="B16" s="2" t="s">
        <v>162</v>
      </c>
      <c r="C16" s="5" t="e">
        <f ca="1">[1]!BExGetData("DP_3","00O2TQ2O5Z7FJVQ908TMEO88W","017")</f>
        <v>#NAME?</v>
      </c>
      <c r="D16" s="5" t="e">
        <f ca="1">[1]!BExGetData("DP_3","003N8D85VN5Y8JTZB37OIE4JK","017")</f>
        <v>#NAME?</v>
      </c>
      <c r="E16" s="7" t="e">
        <f ca="1">[1]!BExGetData("DP_3","00O2TQ2O5Z7FNA9G6FR9AOUY9","017")</f>
        <v>#NAME?</v>
      </c>
      <c r="F16" s="5" t="e">
        <f ca="1">[1]!BExGetData("DP_3","003N8D85VN5Y8JTZB37OIEH6O","017")</f>
        <v>#NAME?</v>
      </c>
      <c r="G16" s="5" t="e">
        <f ca="1">[1]!BExGetData("DP_3","003N8D85VN5Y8JTZB37OIENI8","017")</f>
        <v>#NAME?</v>
      </c>
      <c r="H16" s="5" t="e">
        <f ca="1">[1]!BExGetData("DP_3","003N8D85VN5Y504OEKKJ0EP6G","017")</f>
        <v>#NAME?</v>
      </c>
    </row>
    <row r="17" spans="1:8" x14ac:dyDescent="0.2">
      <c r="A17" s="2" t="s">
        <v>37</v>
      </c>
      <c r="B17" s="2" t="s">
        <v>163</v>
      </c>
      <c r="C17" s="5" t="e">
        <f ca="1">[1]!BExGetData("DP_3","00O2TQ2O5Z7FJVQ908TMEO88W","018")</f>
        <v>#NAME?</v>
      </c>
      <c r="D17" s="5" t="e">
        <f ca="1">[1]!BExGetData("DP_3","003N8D85VN5Y8JTZB37OIE4JK","018")</f>
        <v>#NAME?</v>
      </c>
      <c r="E17" s="7" t="e">
        <f ca="1">[1]!BExGetData("DP_3","00O2TQ2O5Z7FNA9G6FR9AOUY9","018")</f>
        <v>#NAME?</v>
      </c>
      <c r="F17" s="5" t="e">
        <f ca="1">[1]!BExGetData("DP_3","003N8D85VN5Y8JTZB37OIEH6O","018")</f>
        <v>#NAME?</v>
      </c>
      <c r="G17" s="5" t="e">
        <f ca="1">[1]!BExGetData("DP_3","003N8D85VN5Y8JTZB37OIENI8","018")</f>
        <v>#NAME?</v>
      </c>
      <c r="H17" s="5" t="e">
        <f ca="1">[1]!BExGetData("DP_3","003N8D85VN5Y504OEKKJ0EP6G","018")</f>
        <v>#NAME?</v>
      </c>
    </row>
    <row r="18" spans="1:8" x14ac:dyDescent="0.2">
      <c r="A18" s="2" t="s">
        <v>38</v>
      </c>
      <c r="B18" s="2" t="s">
        <v>39</v>
      </c>
      <c r="C18" s="5" t="e">
        <f ca="1">[1]!BExGetData("DP_3","00O2TQ2O5Z7FJVQ908TMEO88W","019")</f>
        <v>#NAME?</v>
      </c>
      <c r="D18" s="5" t="e">
        <f ca="1">[1]!BExGetData("DP_3","003N8D85VN5Y8JTZB37OIE4JK","019")</f>
        <v>#NAME?</v>
      </c>
      <c r="E18" s="7" t="e">
        <f ca="1">[1]!BExGetData("DP_3","00O2TQ2O5Z7FNA9G6FR9AOUY9","019")</f>
        <v>#NAME?</v>
      </c>
      <c r="F18" s="5" t="e">
        <f ca="1">[1]!BExGetData("DP_3","003N8D85VN5Y8JTZB37OIEH6O","019")</f>
        <v>#NAME?</v>
      </c>
      <c r="G18" s="5" t="e">
        <f ca="1">[1]!BExGetData("DP_3","003N8D85VN5Y8JTZB37OIENI8","019")</f>
        <v>#NAME?</v>
      </c>
      <c r="H18" s="4" t="e">
        <f ca="1">[1]!BExGetData("DP_3","003N8D85VN5Y504OEKKJ0EP6G","019")</f>
        <v>#NAME?</v>
      </c>
    </row>
    <row r="19" spans="1:8" x14ac:dyDescent="0.2">
      <c r="A19" s="2" t="s">
        <v>40</v>
      </c>
      <c r="B19" s="2" t="s">
        <v>164</v>
      </c>
      <c r="C19" s="5" t="e">
        <f ca="1">[1]!BExGetData("DP_3","00O2TQ2O5Z7FJVQ908TMEO88W","020")</f>
        <v>#NAME?</v>
      </c>
      <c r="D19" s="5" t="e">
        <f ca="1">[1]!BExGetData("DP_3","003N8D85VN5Y8JTZB37OIE4JK","020")</f>
        <v>#NAME?</v>
      </c>
      <c r="E19" s="7" t="e">
        <f ca="1">[1]!BExGetData("DP_3","00O2TQ2O5Z7FNA9G6FR9AOUY9","020")</f>
        <v>#NAME?</v>
      </c>
      <c r="F19" s="5" t="e">
        <f ca="1">[1]!BExGetData("DP_3","003N8D85VN5Y8JTZB37OIEH6O","020")</f>
        <v>#NAME?</v>
      </c>
      <c r="G19" s="5" t="e">
        <f ca="1">[1]!BExGetData("DP_3","003N8D85VN5Y8JTZB37OIENI8","020")</f>
        <v>#NAME?</v>
      </c>
      <c r="H19" s="5" t="e">
        <f ca="1">[1]!BExGetData("DP_3","003N8D85VN5Y504OEKKJ0EP6G","020")</f>
        <v>#NAME?</v>
      </c>
    </row>
    <row r="20" spans="1:8" x14ac:dyDescent="0.2">
      <c r="A20" s="2" t="s">
        <v>41</v>
      </c>
      <c r="B20" s="2" t="s">
        <v>42</v>
      </c>
      <c r="C20" s="5" t="e">
        <f ca="1">[1]!BExGetData("DP_3","00O2TQ2O5Z7FJVQ908TMEO88W","021")</f>
        <v>#NAME?</v>
      </c>
      <c r="D20" s="5" t="e">
        <f ca="1">[1]!BExGetData("DP_3","003N8D85VN5Y8JTZB37OIE4JK","021")</f>
        <v>#NAME?</v>
      </c>
      <c r="E20" s="7" t="e">
        <f ca="1">[1]!BExGetData("DP_3","00O2TQ2O5Z7FNA9G6FR9AOUY9","021")</f>
        <v>#NAME?</v>
      </c>
      <c r="F20" s="5" t="e">
        <f ca="1">[1]!BExGetData("DP_3","003N8D85VN5Y8JTZB37OIEH6O","021")</f>
        <v>#NAME?</v>
      </c>
      <c r="G20" s="5" t="e">
        <f ca="1">[1]!BExGetData("DP_3","003N8D85VN5Y8JTZB37OIENI8","021")</f>
        <v>#NAME?</v>
      </c>
      <c r="H20" s="4" t="e">
        <f ca="1">[1]!BExGetData("DP_3","003N8D85VN5Y504OEKKJ0EP6G","021")</f>
        <v>#NAME?</v>
      </c>
    </row>
    <row r="21" spans="1:8" x14ac:dyDescent="0.2">
      <c r="A21" s="2" t="s">
        <v>90</v>
      </c>
      <c r="B21" s="2" t="s">
        <v>91</v>
      </c>
      <c r="C21" s="5" t="e">
        <f ca="1">[1]!BExGetData("DP_3","00O2TQ2O5Z7FJVQ908TMEO88W","022")</f>
        <v>#NAME?</v>
      </c>
      <c r="D21" s="5" t="e">
        <f ca="1">[1]!BExGetData("DP_3","003N8D85VN5Y8JTZB37OIE4JK","022")</f>
        <v>#NAME?</v>
      </c>
      <c r="E21" s="7" t="e">
        <f ca="1">[1]!BExGetData("DP_3","00O2TQ2O5Z7FNA9G6FR9AOUY9","022")</f>
        <v>#NAME?</v>
      </c>
      <c r="F21" s="5" t="e">
        <f ca="1">[1]!BExGetData("DP_3","003N8D85VN5Y8JTZB37OIEH6O","022")</f>
        <v>#NAME?</v>
      </c>
      <c r="G21" s="5" t="e">
        <f ca="1">[1]!BExGetData("DP_3","003N8D85VN5Y8JTZB37OIENI8","022")</f>
        <v>#NAME?</v>
      </c>
      <c r="H21" s="5" t="e">
        <f ca="1">[1]!BExGetData("DP_3","003N8D85VN5Y504OEKKJ0EP6G","022")</f>
        <v>#NAME?</v>
      </c>
    </row>
    <row r="22" spans="1:8" x14ac:dyDescent="0.2">
      <c r="A22" s="2" t="s">
        <v>43</v>
      </c>
      <c r="B22" s="2" t="s">
        <v>44</v>
      </c>
      <c r="C22" s="5" t="e">
        <f ca="1">[1]!BExGetData("DP_3","00O2TQ2O5Z7FJVQ908TMEO88W","023")</f>
        <v>#NAME?</v>
      </c>
      <c r="D22" s="5" t="e">
        <f ca="1">[1]!BExGetData("DP_3","003N8D85VN5Y8JTZB37OIE4JK","023")</f>
        <v>#NAME?</v>
      </c>
      <c r="E22" s="7" t="e">
        <f ca="1">[1]!BExGetData("DP_3","00O2TQ2O5Z7FNA9G6FR9AOUY9","023")</f>
        <v>#NAME?</v>
      </c>
      <c r="F22" s="5" t="e">
        <f ca="1">[1]!BExGetData("DP_3","003N8D85VN5Y8JTZB37OIEH6O","023")</f>
        <v>#NAME?</v>
      </c>
      <c r="G22" s="5" t="e">
        <f ca="1">[1]!BExGetData("DP_3","003N8D85VN5Y8JTZB37OIENI8","023")</f>
        <v>#NAME?</v>
      </c>
      <c r="H22" s="5" t="e">
        <f ca="1">[1]!BExGetData("DP_3","003N8D85VN5Y504OEKKJ0EP6G","023")</f>
        <v>#NAME?</v>
      </c>
    </row>
    <row r="23" spans="1:8" x14ac:dyDescent="0.2">
      <c r="A23" s="2" t="s">
        <v>104</v>
      </c>
      <c r="B23" s="2" t="s">
        <v>105</v>
      </c>
      <c r="C23" s="5" t="e">
        <f ca="1">[1]!BExGetData("DP_3","00O2TQ2O5Z7FJVQ908TMEO88W","024")</f>
        <v>#NAME?</v>
      </c>
      <c r="D23" s="5" t="e">
        <f ca="1">[1]!BExGetData("DP_3","003N8D85VN5Y8JTZB37OIE4JK","024")</f>
        <v>#NAME?</v>
      </c>
      <c r="E23" s="7" t="e">
        <f ca="1">[1]!BExGetData("DP_3","00O2TQ2O5Z7FNA9G6FR9AOUY9","024")</f>
        <v>#NAME?</v>
      </c>
      <c r="F23" s="4" t="e">
        <f ca="1">[1]!BExGetData("DP_3","003N8D85VN5Y8JTZB37OIEH6O","024")</f>
        <v>#NAME?</v>
      </c>
      <c r="G23" s="4" t="e">
        <f ca="1">[1]!BExGetData("DP_3","003N8D85VN5Y8JTZB37OIENI8","024")</f>
        <v>#NAME?</v>
      </c>
      <c r="H23" s="5" t="e">
        <f ca="1">[1]!BExGetData("DP_3","003N8D85VN5Y504OEKKJ0EP6G","024")</f>
        <v>#NAME?</v>
      </c>
    </row>
    <row r="24" spans="1:8" x14ac:dyDescent="0.2">
      <c r="A24" s="2" t="s">
        <v>45</v>
      </c>
      <c r="B24" s="2" t="s">
        <v>46</v>
      </c>
      <c r="C24" s="5" t="e">
        <f ca="1">[1]!BExGetData("DP_3","00O2TQ2O5Z7FJVQ908TMEO88W","025")</f>
        <v>#NAME?</v>
      </c>
      <c r="D24" s="5" t="e">
        <f ca="1">[1]!BExGetData("DP_3","003N8D85VN5Y8JTZB37OIE4JK","025")</f>
        <v>#NAME?</v>
      </c>
      <c r="E24" s="7" t="e">
        <f ca="1">[1]!BExGetData("DP_3","00O2TQ2O5Z7FNA9G6FR9AOUY9","025")</f>
        <v>#NAME?</v>
      </c>
      <c r="F24" s="5" t="e">
        <f ca="1">[1]!BExGetData("DP_3","003N8D85VN5Y8JTZB37OIEH6O","025")</f>
        <v>#NAME?</v>
      </c>
      <c r="G24" s="5" t="e">
        <f ca="1">[1]!BExGetData("DP_3","003N8D85VN5Y8JTZB37OIENI8","025")</f>
        <v>#NAME?</v>
      </c>
      <c r="H24" s="5" t="e">
        <f ca="1">[1]!BExGetData("DP_3","003N8D85VN5Y504OEKKJ0EP6G","025")</f>
        <v>#NAME?</v>
      </c>
    </row>
    <row r="25" spans="1:8" x14ac:dyDescent="0.2">
      <c r="A25" s="2" t="s">
        <v>158</v>
      </c>
      <c r="B25" s="2" t="s">
        <v>159</v>
      </c>
      <c r="C25" s="5" t="e">
        <f ca="1">[1]!BExGetData("DP_3","00O2TQ2O5Z7FJVQ908TMEO88W","029")</f>
        <v>#NAME?</v>
      </c>
      <c r="D25" s="5" t="e">
        <f ca="1">[1]!BExGetData("DP_3","003N8D85VN5Y8JTZB37OIE4JK","029")</f>
        <v>#NAME?</v>
      </c>
      <c r="E25" s="7" t="e">
        <f ca="1">[1]!BExGetData("DP_3","00O2TQ2O5Z7FNA9G6FR9AOUY9","029")</f>
        <v>#NAME?</v>
      </c>
      <c r="F25" s="4" t="e">
        <f ca="1">[1]!BExGetData("DP_3","003N8D85VN5Y8JTZB37OIEH6O","029")</f>
        <v>#NAME?</v>
      </c>
      <c r="G25" s="4" t="e">
        <f ca="1">[1]!BExGetData("DP_3","003N8D85VN5Y8JTZB37OIENI8","029")</f>
        <v>#NAME?</v>
      </c>
      <c r="H25" s="5" t="e">
        <f ca="1">[1]!BExGetData("DP_3","003N8D85VN5Y504OEKKJ0EP6G","029")</f>
        <v>#NAME?</v>
      </c>
    </row>
    <row r="26" spans="1:8" x14ac:dyDescent="0.2">
      <c r="A26" s="2" t="s">
        <v>47</v>
      </c>
      <c r="B26" s="2" t="s">
        <v>48</v>
      </c>
      <c r="C26" s="5" t="e">
        <f ca="1">[1]!BExGetData("DP_3","00O2TQ2O5Z7FJVQ908TMEO88W","031")</f>
        <v>#NAME?</v>
      </c>
      <c r="D26" s="5" t="e">
        <f ca="1">[1]!BExGetData("DP_3","003N8D85VN5Y8JTZB37OIE4JK","031")</f>
        <v>#NAME?</v>
      </c>
      <c r="E26" s="7" t="e">
        <f ca="1">[1]!BExGetData("DP_3","00O2TQ2O5Z7FNA9G6FR9AOUY9","031")</f>
        <v>#NAME?</v>
      </c>
      <c r="F26" s="5" t="e">
        <f ca="1">[1]!BExGetData("DP_3","003N8D85VN5Y8JTZB37OIEH6O","031")</f>
        <v>#NAME?</v>
      </c>
      <c r="G26" s="5" t="e">
        <f ca="1">[1]!BExGetData("DP_3","003N8D85VN5Y8JTZB37OIENI8","031")</f>
        <v>#NAME?</v>
      </c>
      <c r="H26" s="4" t="e">
        <f ca="1">[1]!BExGetData("DP_3","003N8D85VN5Y504OEKKJ0EP6G","031")</f>
        <v>#NAME?</v>
      </c>
    </row>
    <row r="27" spans="1:8" x14ac:dyDescent="0.2">
      <c r="A27" s="2" t="s">
        <v>106</v>
      </c>
      <c r="B27" s="2" t="s">
        <v>107</v>
      </c>
      <c r="C27" s="5" t="e">
        <f ca="1">[1]!BExGetData("DP_3","00O2TQ2O5Z7FJVQ908TMEO88W","032")</f>
        <v>#NAME?</v>
      </c>
      <c r="D27" s="5" t="e">
        <f ca="1">[1]!BExGetData("DP_3","003N8D85VN5Y8JTZB37OIE4JK","032")</f>
        <v>#NAME?</v>
      </c>
      <c r="E27" s="7" t="e">
        <f ca="1">[1]!BExGetData("DP_3","00O2TQ2O5Z7FNA9G6FR9AOUY9","032")</f>
        <v>#NAME?</v>
      </c>
      <c r="F27" s="5" t="e">
        <f ca="1">[1]!BExGetData("DP_3","003N8D85VN5Y8JTZB37OIEH6O","032")</f>
        <v>#NAME?</v>
      </c>
      <c r="G27" s="5" t="e">
        <f ca="1">[1]!BExGetData("DP_3","003N8D85VN5Y8JTZB37OIENI8","032")</f>
        <v>#NAME?</v>
      </c>
      <c r="H27" s="5" t="e">
        <f ca="1">[1]!BExGetData("DP_3","003N8D85VN5Y504OEKKJ0EP6G","032")</f>
        <v>#NAME?</v>
      </c>
    </row>
    <row r="28" spans="1:8" x14ac:dyDescent="0.2">
      <c r="A28" s="2" t="s">
        <v>49</v>
      </c>
      <c r="B28" s="2" t="s">
        <v>50</v>
      </c>
      <c r="C28" s="5" t="e">
        <f ca="1">[1]!BExGetData("DP_3","00O2TQ2O5Z7FJVQ908TMEO88W","033")</f>
        <v>#NAME?</v>
      </c>
      <c r="D28" s="5" t="e">
        <f ca="1">[1]!BExGetData("DP_3","003N8D85VN5Y8JTZB37OIE4JK","033")</f>
        <v>#NAME?</v>
      </c>
      <c r="E28" s="7" t="e">
        <f ca="1">[1]!BExGetData("DP_3","00O2TQ2O5Z7FNA9G6FR9AOUY9","033")</f>
        <v>#NAME?</v>
      </c>
      <c r="F28" s="5" t="e">
        <f ca="1">[1]!BExGetData("DP_3","003N8D85VN5Y8JTZB37OIEH6O","033")</f>
        <v>#NAME?</v>
      </c>
      <c r="G28" s="5" t="e">
        <f ca="1">[1]!BExGetData("DP_3","003N8D85VN5Y8JTZB37OIENI8","033")</f>
        <v>#NAME?</v>
      </c>
      <c r="H28" s="4" t="e">
        <f ca="1">[1]!BExGetData("DP_3","003N8D85VN5Y504OEKKJ0EP6G","033")</f>
        <v>#NAME?</v>
      </c>
    </row>
    <row r="29" spans="1:8" x14ac:dyDescent="0.2">
      <c r="A29" s="2" t="s">
        <v>108</v>
      </c>
      <c r="B29" s="2" t="s">
        <v>109</v>
      </c>
      <c r="C29" s="5" t="e">
        <f ca="1">[1]!BExGetData("DP_3","00O2TQ2O5Z7FJVQ908TMEO88W","034")</f>
        <v>#NAME?</v>
      </c>
      <c r="D29" s="5" t="e">
        <f ca="1">[1]!BExGetData("DP_3","003N8D85VN5Y8JTZB37OIE4JK","034")</f>
        <v>#NAME?</v>
      </c>
      <c r="E29" s="7" t="e">
        <f ca="1">[1]!BExGetData("DP_3","00O2TQ2O5Z7FNA9G6FR9AOUY9","034")</f>
        <v>#NAME?</v>
      </c>
      <c r="F29" s="5" t="e">
        <f ca="1">[1]!BExGetData("DP_3","003N8D85VN5Y8JTZB37OIEH6O","034")</f>
        <v>#NAME?</v>
      </c>
      <c r="G29" s="5" t="e">
        <f ca="1">[1]!BExGetData("DP_3","003N8D85VN5Y8JTZB37OIENI8","034")</f>
        <v>#NAME?</v>
      </c>
      <c r="H29" s="4" t="e">
        <f ca="1">[1]!BExGetData("DP_3","003N8D85VN5Y504OEKKJ0EP6G","034")</f>
        <v>#NAME?</v>
      </c>
    </row>
    <row r="30" spans="1:8" x14ac:dyDescent="0.2">
      <c r="A30" s="2" t="s">
        <v>51</v>
      </c>
      <c r="B30" s="2" t="s">
        <v>52</v>
      </c>
      <c r="C30" s="5" t="e">
        <f ca="1">[1]!BExGetData("DP_3","00O2TQ2O5Z7FJVQ908TMEO88W","035")</f>
        <v>#NAME?</v>
      </c>
      <c r="D30" s="5" t="e">
        <f ca="1">[1]!BExGetData("DP_3","003N8D85VN5Y8JTZB37OIE4JK","035")</f>
        <v>#NAME?</v>
      </c>
      <c r="E30" s="7" t="e">
        <f ca="1">[1]!BExGetData("DP_3","00O2TQ2O5Z7FNA9G6FR9AOUY9","035")</f>
        <v>#NAME?</v>
      </c>
      <c r="F30" s="5" t="e">
        <f ca="1">[1]!BExGetData("DP_3","003N8D85VN5Y8JTZB37OIEH6O","035")</f>
        <v>#NAME?</v>
      </c>
      <c r="G30" s="5" t="e">
        <f ca="1">[1]!BExGetData("DP_3","003N8D85VN5Y8JTZB37OIENI8","035")</f>
        <v>#NAME?</v>
      </c>
      <c r="H30" s="4" t="e">
        <f ca="1">[1]!BExGetData("DP_3","003N8D85VN5Y504OEKKJ0EP6G","035")</f>
        <v>#NAME?</v>
      </c>
    </row>
    <row r="31" spans="1:8" x14ac:dyDescent="0.2">
      <c r="A31" s="2" t="s">
        <v>53</v>
      </c>
      <c r="B31" s="2" t="s">
        <v>54</v>
      </c>
      <c r="C31" s="5" t="e">
        <f ca="1">[1]!BExGetData("DP_3","00O2TQ2O5Z7FJVQ908TMEO88W","036")</f>
        <v>#NAME?</v>
      </c>
      <c r="D31" s="5" t="e">
        <f ca="1">[1]!BExGetData("DP_3","003N8D85VN5Y8JTZB37OIE4JK","036")</f>
        <v>#NAME?</v>
      </c>
      <c r="E31" s="7" t="e">
        <f ca="1">[1]!BExGetData("DP_3","00O2TQ2O5Z7FNA9G6FR9AOUY9","036")</f>
        <v>#NAME?</v>
      </c>
      <c r="F31" s="5" t="e">
        <f ca="1">[1]!BExGetData("DP_3","003N8D85VN5Y8JTZB37OIEH6O","036")</f>
        <v>#NAME?</v>
      </c>
      <c r="G31" s="5" t="e">
        <f ca="1">[1]!BExGetData("DP_3","003N8D85VN5Y8JTZB37OIENI8","036")</f>
        <v>#NAME?</v>
      </c>
      <c r="H31" s="4" t="e">
        <f ca="1">[1]!BExGetData("DP_3","003N8D85VN5Y504OEKKJ0EP6G","036")</f>
        <v>#NAME?</v>
      </c>
    </row>
    <row r="32" spans="1:8" x14ac:dyDescent="0.2">
      <c r="A32" s="2" t="s">
        <v>55</v>
      </c>
      <c r="B32" s="2" t="s">
        <v>56</v>
      </c>
      <c r="C32" s="5" t="e">
        <f ca="1">[1]!BExGetData("DP_3","00O2TQ2O5Z7FJVQ908TMEO88W","037")</f>
        <v>#NAME?</v>
      </c>
      <c r="D32" s="5" t="e">
        <f ca="1">[1]!BExGetData("DP_3","003N8D85VN5Y8JTZB37OIE4JK","037")</f>
        <v>#NAME?</v>
      </c>
      <c r="E32" s="7" t="e">
        <f ca="1">[1]!BExGetData("DP_3","00O2TQ2O5Z7FNA9G6FR9AOUY9","037")</f>
        <v>#NAME?</v>
      </c>
      <c r="F32" s="5" t="e">
        <f ca="1">[1]!BExGetData("DP_3","003N8D85VN5Y8JTZB37OIEH6O","037")</f>
        <v>#NAME?</v>
      </c>
      <c r="G32" s="5" t="e">
        <f ca="1">[1]!BExGetData("DP_3","003N8D85VN5Y8JTZB37OIENI8","037")</f>
        <v>#NAME?</v>
      </c>
      <c r="H32" s="4" t="e">
        <f ca="1">[1]!BExGetData("DP_3","003N8D85VN5Y504OEKKJ0EP6G","037")</f>
        <v>#NAME?</v>
      </c>
    </row>
    <row r="33" spans="1:8" x14ac:dyDescent="0.2">
      <c r="A33" s="2" t="s">
        <v>110</v>
      </c>
      <c r="B33" s="2" t="s">
        <v>111</v>
      </c>
      <c r="C33" s="5" t="e">
        <f ca="1">[1]!BExGetData("DP_3","00O2TQ2O5Z7FJVQ908TMEO88W","038")</f>
        <v>#NAME?</v>
      </c>
      <c r="D33" s="5" t="e">
        <f ca="1">[1]!BExGetData("DP_3","003N8D85VN5Y8JTZB37OIE4JK","038")</f>
        <v>#NAME?</v>
      </c>
      <c r="E33" s="7" t="e">
        <f ca="1">[1]!BExGetData("DP_3","00O2TQ2O5Z7FNA9G6FR9AOUY9","038")</f>
        <v>#NAME?</v>
      </c>
      <c r="F33" s="5" t="e">
        <f ca="1">[1]!BExGetData("DP_3","003N8D85VN5Y8JTZB37OIEH6O","038")</f>
        <v>#NAME?</v>
      </c>
      <c r="G33" s="5" t="e">
        <f ca="1">[1]!BExGetData("DP_3","003N8D85VN5Y8JTZB37OIENI8","038")</f>
        <v>#NAME?</v>
      </c>
      <c r="H33" s="4" t="e">
        <f ca="1">[1]!BExGetData("DP_3","003N8D85VN5Y504OEKKJ0EP6G","038")</f>
        <v>#NAME?</v>
      </c>
    </row>
    <row r="34" spans="1:8" x14ac:dyDescent="0.2">
      <c r="A34" s="2" t="s">
        <v>57</v>
      </c>
      <c r="B34" s="2" t="s">
        <v>58</v>
      </c>
      <c r="C34" s="5" t="e">
        <f ca="1">[1]!BExGetData("DP_3","00O2TQ2O5Z7FJVQ908TMEO88W","040")</f>
        <v>#NAME?</v>
      </c>
      <c r="D34" s="5" t="e">
        <f ca="1">[1]!BExGetData("DP_3","003N8D85VN5Y8JTZB37OIE4JK","040")</f>
        <v>#NAME?</v>
      </c>
      <c r="E34" s="7" t="e">
        <f ca="1">[1]!BExGetData("DP_3","00O2TQ2O5Z7FNA9G6FR9AOUY9","040")</f>
        <v>#NAME?</v>
      </c>
      <c r="F34" s="5" t="e">
        <f ca="1">[1]!BExGetData("DP_3","003N8D85VN5Y8JTZB37OIEH6O","040")</f>
        <v>#NAME?</v>
      </c>
      <c r="G34" s="5" t="e">
        <f ca="1">[1]!BExGetData("DP_3","003N8D85VN5Y8JTZB37OIENI8","040")</f>
        <v>#NAME?</v>
      </c>
      <c r="H34" s="5" t="e">
        <f ca="1">[1]!BExGetData("DP_3","003N8D85VN5Y504OEKKJ0EP6G","040")</f>
        <v>#NAME?</v>
      </c>
    </row>
    <row r="35" spans="1:8" x14ac:dyDescent="0.2">
      <c r="A35" s="2" t="s">
        <v>112</v>
      </c>
      <c r="B35" s="2" t="s">
        <v>113</v>
      </c>
      <c r="C35" s="5" t="e">
        <f ca="1">[1]!BExGetData("DP_3","00O2TQ2O5Z7FJVQ908TMEO88W","041")</f>
        <v>#NAME?</v>
      </c>
      <c r="D35" s="4" t="e">
        <f ca="1">[1]!BExGetData("DP_3","003N8D85VN5Y8JTZB37OIE4JK","041")</f>
        <v>#NAME?</v>
      </c>
      <c r="E35" s="7" t="e">
        <f ca="1">[1]!BExGetData("DP_3","00O2TQ2O5Z7FNA9G6FR9AOUY9","041")</f>
        <v>#NAME?</v>
      </c>
      <c r="F35" s="5" t="e">
        <f ca="1">[1]!BExGetData("DP_3","003N8D85VN5Y8JTZB37OIEH6O","041")</f>
        <v>#NAME?</v>
      </c>
      <c r="G35" s="5" t="e">
        <f ca="1">[1]!BExGetData("DP_3","003N8D85VN5Y8JTZB37OIENI8","041")</f>
        <v>#NAME?</v>
      </c>
      <c r="H35" s="4" t="e">
        <f ca="1">[1]!BExGetData("DP_3","003N8D85VN5Y504OEKKJ0EP6G","041")</f>
        <v>#NAME?</v>
      </c>
    </row>
    <row r="36" spans="1:8" x14ac:dyDescent="0.2">
      <c r="A36" s="2" t="s">
        <v>114</v>
      </c>
      <c r="B36" s="2" t="s">
        <v>115</v>
      </c>
      <c r="C36" s="5" t="e">
        <f ca="1">[1]!BExGetData("DP_3","00O2TQ2O5Z7FJVQ908TMEO88W","042")</f>
        <v>#NAME?</v>
      </c>
      <c r="D36" s="4" t="e">
        <f ca="1">[1]!BExGetData("DP_3","003N8D85VN5Y8JTZB37OIE4JK","042")</f>
        <v>#NAME?</v>
      </c>
      <c r="E36" s="7" t="e">
        <f ca="1">[1]!BExGetData("DP_3","00O2TQ2O5Z7FNA9G6FR9AOUY9","042")</f>
        <v>#NAME?</v>
      </c>
      <c r="F36" s="5" t="e">
        <f ca="1">[1]!BExGetData("DP_3","003N8D85VN5Y8JTZB37OIEH6O","042")</f>
        <v>#NAME?</v>
      </c>
      <c r="G36" s="5" t="e">
        <f ca="1">[1]!BExGetData("DP_3","003N8D85VN5Y8JTZB37OIENI8","042")</f>
        <v>#NAME?</v>
      </c>
      <c r="H36" s="4" t="e">
        <f ca="1">[1]!BExGetData("DP_3","003N8D85VN5Y504OEKKJ0EP6G","042")</f>
        <v>#NAME?</v>
      </c>
    </row>
    <row r="37" spans="1:8" x14ac:dyDescent="0.2">
      <c r="A37" s="2" t="s">
        <v>116</v>
      </c>
      <c r="B37" s="2" t="s">
        <v>117</v>
      </c>
      <c r="C37" s="5" t="e">
        <f ca="1">[1]!BExGetData("DP_3","00O2TQ2O5Z7FJVQ908TMEO88W","044")</f>
        <v>#NAME?</v>
      </c>
      <c r="D37" s="4" t="e">
        <f ca="1">[1]!BExGetData("DP_3","003N8D85VN5Y8JTZB37OIE4JK","044")</f>
        <v>#NAME?</v>
      </c>
      <c r="E37" s="7" t="e">
        <f ca="1">[1]!BExGetData("DP_3","00O2TQ2O5Z7FNA9G6FR9AOUY9","044")</f>
        <v>#NAME?</v>
      </c>
      <c r="F37" s="5" t="e">
        <f ca="1">[1]!BExGetData("DP_3","003N8D85VN5Y8JTZB37OIEH6O","044")</f>
        <v>#NAME?</v>
      </c>
      <c r="G37" s="5" t="e">
        <f ca="1">[1]!BExGetData("DP_3","003N8D85VN5Y8JTZB37OIENI8","044")</f>
        <v>#NAME?</v>
      </c>
      <c r="H37" s="4" t="e">
        <f ca="1">[1]!BExGetData("DP_3","003N8D85VN5Y504OEKKJ0EP6G","044")</f>
        <v>#NAME?</v>
      </c>
    </row>
    <row r="38" spans="1:8" x14ac:dyDescent="0.2">
      <c r="A38" s="2" t="s">
        <v>118</v>
      </c>
      <c r="B38" s="2" t="s">
        <v>119</v>
      </c>
      <c r="C38" s="5" t="e">
        <f ca="1">[1]!BExGetData("DP_3","00O2TQ2O5Z7FJVQ908TMEO88W","045")</f>
        <v>#NAME?</v>
      </c>
      <c r="D38" s="5" t="e">
        <f ca="1">[1]!BExGetData("DP_3","003N8D85VN5Y8JTZB37OIE4JK","045")</f>
        <v>#NAME?</v>
      </c>
      <c r="E38" s="7" t="e">
        <f ca="1">[1]!BExGetData("DP_3","00O2TQ2O5Z7FNA9G6FR9AOUY9","045")</f>
        <v>#NAME?</v>
      </c>
      <c r="F38" s="5" t="e">
        <f ca="1">[1]!BExGetData("DP_3","003N8D85VN5Y8JTZB37OIEH6O","045")</f>
        <v>#NAME?</v>
      </c>
      <c r="G38" s="5" t="e">
        <f ca="1">[1]!BExGetData("DP_3","003N8D85VN5Y8JTZB37OIENI8","045")</f>
        <v>#NAME?</v>
      </c>
      <c r="H38" s="4" t="e">
        <f ca="1">[1]!BExGetData("DP_3","003N8D85VN5Y504OEKKJ0EP6G","045")</f>
        <v>#NAME?</v>
      </c>
    </row>
    <row r="39" spans="1:8" x14ac:dyDescent="0.2">
      <c r="A39" s="2" t="s">
        <v>120</v>
      </c>
      <c r="B39" s="2" t="s">
        <v>121</v>
      </c>
      <c r="C39" s="5" t="e">
        <f ca="1">[1]!BExGetData("DP_3","00O2TQ2O5Z7FJVQ908TMEO88W","046")</f>
        <v>#NAME?</v>
      </c>
      <c r="D39" s="5" t="e">
        <f ca="1">[1]!BExGetData("DP_3","003N8D85VN5Y8JTZB37OIE4JK","046")</f>
        <v>#NAME?</v>
      </c>
      <c r="E39" s="7" t="e">
        <f ca="1">[1]!BExGetData("DP_3","00O2TQ2O5Z7FNA9G6FR9AOUY9","046")</f>
        <v>#NAME?</v>
      </c>
      <c r="F39" s="5" t="e">
        <f ca="1">[1]!BExGetData("DP_3","003N8D85VN5Y8JTZB37OIEH6O","046")</f>
        <v>#NAME?</v>
      </c>
      <c r="G39" s="5" t="e">
        <f ca="1">[1]!BExGetData("DP_3","003N8D85VN5Y8JTZB37OIENI8","046")</f>
        <v>#NAME?</v>
      </c>
      <c r="H39" s="4" t="e">
        <f ca="1">[1]!BExGetData("DP_3","003N8D85VN5Y504OEKKJ0EP6G","046")</f>
        <v>#NAME?</v>
      </c>
    </row>
    <row r="40" spans="1:8" x14ac:dyDescent="0.2">
      <c r="A40" s="2" t="s">
        <v>122</v>
      </c>
      <c r="B40" s="2" t="s">
        <v>123</v>
      </c>
      <c r="C40" s="5" t="e">
        <f ca="1">[1]!BExGetData("DP_3","00O2TQ2O5Z7FJVQ908TMEO88W","047")</f>
        <v>#NAME?</v>
      </c>
      <c r="D40" s="5" t="e">
        <f ca="1">[1]!BExGetData("DP_3","003N8D85VN5Y8JTZB37OIE4JK","047")</f>
        <v>#NAME?</v>
      </c>
      <c r="E40" s="7" t="e">
        <f ca="1">[1]!BExGetData("DP_3","00O2TQ2O5Z7FNA9G6FR9AOUY9","047")</f>
        <v>#NAME?</v>
      </c>
      <c r="F40" s="5" t="e">
        <f ca="1">[1]!BExGetData("DP_3","003N8D85VN5Y8JTZB37OIEH6O","047")</f>
        <v>#NAME?</v>
      </c>
      <c r="G40" s="5" t="e">
        <f ca="1">[1]!BExGetData("DP_3","003N8D85VN5Y8JTZB37OIENI8","047")</f>
        <v>#NAME?</v>
      </c>
      <c r="H40" s="4" t="e">
        <f ca="1">[1]!BExGetData("DP_3","003N8D85VN5Y504OEKKJ0EP6G","047")</f>
        <v>#NAME?</v>
      </c>
    </row>
    <row r="41" spans="1:8" x14ac:dyDescent="0.2">
      <c r="A41" s="2" t="s">
        <v>59</v>
      </c>
      <c r="B41" s="2" t="s">
        <v>60</v>
      </c>
      <c r="C41" s="5" t="e">
        <f ca="1">[1]!BExGetData("DP_3","00O2TQ2O5Z7FJVQ908TMEO88W","048")</f>
        <v>#NAME?</v>
      </c>
      <c r="D41" s="5" t="e">
        <f ca="1">[1]!BExGetData("DP_3","003N8D85VN5Y8JTZB37OIE4JK","048")</f>
        <v>#NAME?</v>
      </c>
      <c r="E41" s="7" t="e">
        <f ca="1">[1]!BExGetData("DP_3","00O2TQ2O5Z7FNA9G6FR9AOUY9","048")</f>
        <v>#NAME?</v>
      </c>
      <c r="F41" s="5" t="e">
        <f ca="1">[1]!BExGetData("DP_3","003N8D85VN5Y8JTZB37OIEH6O","048")</f>
        <v>#NAME?</v>
      </c>
      <c r="G41" s="5" t="e">
        <f ca="1">[1]!BExGetData("DP_3","003N8D85VN5Y8JTZB37OIENI8","048")</f>
        <v>#NAME?</v>
      </c>
      <c r="H41" s="4" t="e">
        <f ca="1">[1]!BExGetData("DP_3","003N8D85VN5Y504OEKKJ0EP6G","048")</f>
        <v>#NAME?</v>
      </c>
    </row>
    <row r="42" spans="1:8" x14ac:dyDescent="0.2">
      <c r="A42" s="2" t="s">
        <v>61</v>
      </c>
      <c r="B42" s="2" t="s">
        <v>62</v>
      </c>
      <c r="C42" s="5" t="e">
        <f ca="1">[1]!BExGetData("DP_3","00O2TQ2O5Z7FJVQ908TMEO88W","049")</f>
        <v>#NAME?</v>
      </c>
      <c r="D42" s="5" t="e">
        <f ca="1">[1]!BExGetData("DP_3","003N8D85VN5Y8JTZB37OIE4JK","049")</f>
        <v>#NAME?</v>
      </c>
      <c r="E42" s="7" t="e">
        <f ca="1">[1]!BExGetData("DP_3","00O2TQ2O5Z7FNA9G6FR9AOUY9","049")</f>
        <v>#NAME?</v>
      </c>
      <c r="F42" s="5" t="e">
        <f ca="1">[1]!BExGetData("DP_3","003N8D85VN5Y8JTZB37OIEH6O","049")</f>
        <v>#NAME?</v>
      </c>
      <c r="G42" s="5" t="e">
        <f ca="1">[1]!BExGetData("DP_3","003N8D85VN5Y8JTZB37OIENI8","049")</f>
        <v>#NAME?</v>
      </c>
      <c r="H42" s="4" t="e">
        <f ca="1">[1]!BExGetData("DP_3","003N8D85VN5Y504OEKKJ0EP6G","049")</f>
        <v>#NAME?</v>
      </c>
    </row>
    <row r="43" spans="1:8" x14ac:dyDescent="0.2">
      <c r="A43" s="2" t="s">
        <v>63</v>
      </c>
      <c r="B43" s="2" t="s">
        <v>64</v>
      </c>
      <c r="C43" s="5" t="e">
        <f ca="1">[1]!BExGetData("DP_3","00O2TQ2O5Z7FJVQ908TMEO88W","050")</f>
        <v>#NAME?</v>
      </c>
      <c r="D43" s="5" t="e">
        <f ca="1">[1]!BExGetData("DP_3","003N8D85VN5Y8JTZB37OIE4JK","050")</f>
        <v>#NAME?</v>
      </c>
      <c r="E43" s="7" t="e">
        <f ca="1">[1]!BExGetData("DP_3","00O2TQ2O5Z7FNA9G6FR9AOUY9","050")</f>
        <v>#NAME?</v>
      </c>
      <c r="F43" s="5" t="e">
        <f ca="1">[1]!BExGetData("DP_3","003N8D85VN5Y8JTZB37OIEH6O","050")</f>
        <v>#NAME?</v>
      </c>
      <c r="G43" s="5" t="e">
        <f ca="1">[1]!BExGetData("DP_3","003N8D85VN5Y8JTZB37OIENI8","050")</f>
        <v>#NAME?</v>
      </c>
      <c r="H43" s="4" t="e">
        <f ca="1">[1]!BExGetData("DP_3","003N8D85VN5Y504OEKKJ0EP6G","050")</f>
        <v>#NAME?</v>
      </c>
    </row>
    <row r="44" spans="1:8" x14ac:dyDescent="0.2">
      <c r="A44" s="2" t="s">
        <v>124</v>
      </c>
      <c r="B44" s="2" t="s">
        <v>125</v>
      </c>
      <c r="C44" s="5" t="e">
        <f ca="1">[1]!BExGetData("DP_3","00O2TQ2O5Z7FJVQ908TMEO88W","051")</f>
        <v>#NAME?</v>
      </c>
      <c r="D44" s="5" t="e">
        <f ca="1">[1]!BExGetData("DP_3","003N8D85VN5Y8JTZB37OIE4JK","051")</f>
        <v>#NAME?</v>
      </c>
      <c r="E44" s="7" t="e">
        <f ca="1">[1]!BExGetData("DP_3","00O2TQ2O5Z7FNA9G6FR9AOUY9","051")</f>
        <v>#NAME?</v>
      </c>
      <c r="F44" s="5" t="e">
        <f ca="1">[1]!BExGetData("DP_3","003N8D85VN5Y8JTZB37OIEH6O","051")</f>
        <v>#NAME?</v>
      </c>
      <c r="G44" s="5" t="e">
        <f ca="1">[1]!BExGetData("DP_3","003N8D85VN5Y8JTZB37OIENI8","051")</f>
        <v>#NAME?</v>
      </c>
      <c r="H44" s="4" t="e">
        <f ca="1">[1]!BExGetData("DP_3","003N8D85VN5Y504OEKKJ0EP6G","051")</f>
        <v>#NAME?</v>
      </c>
    </row>
    <row r="45" spans="1:8" x14ac:dyDescent="0.2">
      <c r="A45" s="2" t="s">
        <v>65</v>
      </c>
      <c r="B45" s="2" t="s">
        <v>66</v>
      </c>
      <c r="C45" s="5" t="e">
        <f ca="1">[1]!BExGetData("DP_3","00O2TQ2O5Z7FJVQ908TMEO88W","052")</f>
        <v>#NAME?</v>
      </c>
      <c r="D45" s="5" t="e">
        <f ca="1">[1]!BExGetData("DP_3","003N8D85VN5Y8JTZB37OIE4JK","052")</f>
        <v>#NAME?</v>
      </c>
      <c r="E45" s="7" t="e">
        <f ca="1">[1]!BExGetData("DP_3","00O2TQ2O5Z7FNA9G6FR9AOUY9","052")</f>
        <v>#NAME?</v>
      </c>
      <c r="F45" s="5" t="e">
        <f ca="1">[1]!BExGetData("DP_3","003N8D85VN5Y8JTZB37OIEH6O","052")</f>
        <v>#NAME?</v>
      </c>
      <c r="G45" s="5" t="e">
        <f ca="1">[1]!BExGetData("DP_3","003N8D85VN5Y8JTZB37OIENI8","052")</f>
        <v>#NAME?</v>
      </c>
      <c r="H45" s="4" t="e">
        <f ca="1">[1]!BExGetData("DP_3","003N8D85VN5Y504OEKKJ0EP6G","052")</f>
        <v>#NAME?</v>
      </c>
    </row>
    <row r="46" spans="1:8" x14ac:dyDescent="0.2">
      <c r="A46" s="2" t="s">
        <v>126</v>
      </c>
      <c r="B46" s="2" t="s">
        <v>127</v>
      </c>
      <c r="C46" s="5" t="e">
        <f ca="1">[1]!BExGetData("DP_3","00O2TQ2O5Z7FJVQ908TMEO88W","053")</f>
        <v>#NAME?</v>
      </c>
      <c r="D46" s="5" t="e">
        <f ca="1">[1]!BExGetData("DP_3","003N8D85VN5Y8JTZB37OIE4JK","053")</f>
        <v>#NAME?</v>
      </c>
      <c r="E46" s="7" t="e">
        <f ca="1">[1]!BExGetData("DP_3","00O2TQ2O5Z7FNA9G6FR9AOUY9","053")</f>
        <v>#NAME?</v>
      </c>
      <c r="F46" s="5" t="e">
        <f ca="1">[1]!BExGetData("DP_3","003N8D85VN5Y8JTZB37OIEH6O","053")</f>
        <v>#NAME?</v>
      </c>
      <c r="G46" s="5" t="e">
        <f ca="1">[1]!BExGetData("DP_3","003N8D85VN5Y8JTZB37OIENI8","053")</f>
        <v>#NAME?</v>
      </c>
      <c r="H46" s="4" t="e">
        <f ca="1">[1]!BExGetData("DP_3","003N8D85VN5Y504OEKKJ0EP6G","053")</f>
        <v>#NAME?</v>
      </c>
    </row>
    <row r="47" spans="1:8" x14ac:dyDescent="0.2">
      <c r="A47" s="2" t="s">
        <v>128</v>
      </c>
      <c r="B47" s="2" t="s">
        <v>129</v>
      </c>
      <c r="C47" s="5" t="e">
        <f ca="1">[1]!BExGetData("DP_3","00O2TQ2O5Z7FJVQ908TMEO88W","054")</f>
        <v>#NAME?</v>
      </c>
      <c r="D47" s="5" t="e">
        <f ca="1">[1]!BExGetData("DP_3","003N8D85VN5Y8JTZB37OIE4JK","054")</f>
        <v>#NAME?</v>
      </c>
      <c r="E47" s="7" t="e">
        <f ca="1">[1]!BExGetData("DP_3","00O2TQ2O5Z7FNA9G6FR9AOUY9","054")</f>
        <v>#NAME?</v>
      </c>
      <c r="F47" s="5" t="e">
        <f ca="1">[1]!BExGetData("DP_3","003N8D85VN5Y8JTZB37OIEH6O","054")</f>
        <v>#NAME?</v>
      </c>
      <c r="G47" s="5" t="e">
        <f ca="1">[1]!BExGetData("DP_3","003N8D85VN5Y8JTZB37OIENI8","054")</f>
        <v>#NAME?</v>
      </c>
      <c r="H47" s="4" t="e">
        <f ca="1">[1]!BExGetData("DP_3","003N8D85VN5Y504OEKKJ0EP6G","054")</f>
        <v>#NAME?</v>
      </c>
    </row>
    <row r="48" spans="1:8" x14ac:dyDescent="0.2">
      <c r="A48" s="2" t="s">
        <v>130</v>
      </c>
      <c r="B48" s="2" t="s">
        <v>165</v>
      </c>
      <c r="C48" s="5" t="e">
        <f ca="1">[1]!BExGetData("DP_3","00O2TQ2O5Z7FJVQ908TMEO88W","055")</f>
        <v>#NAME?</v>
      </c>
      <c r="D48" s="5" t="e">
        <f ca="1">[1]!BExGetData("DP_3","003N8D85VN5Y8JTZB37OIE4JK","055")</f>
        <v>#NAME?</v>
      </c>
      <c r="E48" s="7" t="e">
        <f ca="1">[1]!BExGetData("DP_3","00O2TQ2O5Z7FNA9G6FR9AOUY9","055")</f>
        <v>#NAME?</v>
      </c>
      <c r="F48" s="5" t="e">
        <f ca="1">[1]!BExGetData("DP_3","003N8D85VN5Y8JTZB37OIEH6O","055")</f>
        <v>#NAME?</v>
      </c>
      <c r="G48" s="5" t="e">
        <f ca="1">[1]!BExGetData("DP_3","003N8D85VN5Y8JTZB37OIENI8","055")</f>
        <v>#NAME?</v>
      </c>
      <c r="H48" s="4" t="e">
        <f ca="1">[1]!BExGetData("DP_3","003N8D85VN5Y504OEKKJ0EP6G","055")</f>
        <v>#NAME?</v>
      </c>
    </row>
    <row r="49" spans="1:8" x14ac:dyDescent="0.2">
      <c r="A49" s="2" t="s">
        <v>131</v>
      </c>
      <c r="B49" s="2" t="s">
        <v>132</v>
      </c>
      <c r="C49" s="5" t="e">
        <f ca="1">[1]!BExGetData("DP_3","00O2TQ2O5Z7FJVQ908TMEO88W","058")</f>
        <v>#NAME?</v>
      </c>
      <c r="D49" s="5" t="e">
        <f ca="1">[1]!BExGetData("DP_3","003N8D85VN5Y8JTZB37OIE4JK","058")</f>
        <v>#NAME?</v>
      </c>
      <c r="E49" s="7" t="e">
        <f ca="1">[1]!BExGetData("DP_3","00O2TQ2O5Z7FNA9G6FR9AOUY9","058")</f>
        <v>#NAME?</v>
      </c>
      <c r="F49" s="5" t="e">
        <f ca="1">[1]!BExGetData("DP_3","003N8D85VN5Y8JTZB37OIEH6O","058")</f>
        <v>#NAME?</v>
      </c>
      <c r="G49" s="5" t="e">
        <f ca="1">[1]!BExGetData("DP_3","003N8D85VN5Y8JTZB37OIENI8","058")</f>
        <v>#NAME?</v>
      </c>
      <c r="H49" s="5" t="e">
        <f ca="1">[1]!BExGetData("DP_3","003N8D85VN5Y504OEKKJ0EP6G","058")</f>
        <v>#NAME?</v>
      </c>
    </row>
    <row r="50" spans="1:8" x14ac:dyDescent="0.2">
      <c r="A50" s="2" t="s">
        <v>133</v>
      </c>
      <c r="B50" s="2" t="s">
        <v>134</v>
      </c>
      <c r="C50" s="5" t="e">
        <f ca="1">[1]!BExGetData("DP_3","00O2TQ2O5Z7FJVQ908TMEO88W","060")</f>
        <v>#NAME?</v>
      </c>
      <c r="D50" s="5" t="e">
        <f ca="1">[1]!BExGetData("DP_3","003N8D85VN5Y8JTZB37OIE4JK","060")</f>
        <v>#NAME?</v>
      </c>
      <c r="E50" s="7" t="e">
        <f ca="1">[1]!BExGetData("DP_3","00O2TQ2O5Z7FNA9G6FR9AOUY9","060")</f>
        <v>#NAME?</v>
      </c>
      <c r="F50" s="5" t="e">
        <f ca="1">[1]!BExGetData("DP_3","003N8D85VN5Y8JTZB37OIEH6O","060")</f>
        <v>#NAME?</v>
      </c>
      <c r="G50" s="5" t="e">
        <f ca="1">[1]!BExGetData("DP_3","003N8D85VN5Y8JTZB37OIENI8","060")</f>
        <v>#NAME?</v>
      </c>
      <c r="H50" s="4" t="e">
        <f ca="1">[1]!BExGetData("DP_3","003N8D85VN5Y504OEKKJ0EP6G","060")</f>
        <v>#NAME?</v>
      </c>
    </row>
    <row r="51" spans="1:8" x14ac:dyDescent="0.2">
      <c r="A51" s="2" t="s">
        <v>135</v>
      </c>
      <c r="B51" s="2" t="s">
        <v>166</v>
      </c>
      <c r="C51" s="5" t="e">
        <f ca="1">[1]!BExGetData("DP_3","00O2TQ2O5Z7FJVQ908TMEO88W","063")</f>
        <v>#NAME?</v>
      </c>
      <c r="D51" s="5" t="e">
        <f ca="1">[1]!BExGetData("DP_3","003N8D85VN5Y8JTZB37OIE4JK","063")</f>
        <v>#NAME?</v>
      </c>
      <c r="E51" s="7" t="e">
        <f ca="1">[1]!BExGetData("DP_3","00O2TQ2O5Z7FNA9G6FR9AOUY9","063")</f>
        <v>#NAME?</v>
      </c>
      <c r="F51" s="5" t="e">
        <f ca="1">[1]!BExGetData("DP_3","003N8D85VN5Y8JTZB37OIEH6O","063")</f>
        <v>#NAME?</v>
      </c>
      <c r="G51" s="5" t="e">
        <f ca="1">[1]!BExGetData("DP_3","003N8D85VN5Y8JTZB37OIENI8","063")</f>
        <v>#NAME?</v>
      </c>
      <c r="H51" s="4" t="e">
        <f ca="1">[1]!BExGetData("DP_3","003N8D85VN5Y504OEKKJ0EP6G","063")</f>
        <v>#NAME?</v>
      </c>
    </row>
    <row r="52" spans="1:8" x14ac:dyDescent="0.2">
      <c r="A52" s="2" t="s">
        <v>136</v>
      </c>
      <c r="B52" s="2" t="s">
        <v>137</v>
      </c>
      <c r="C52" s="5" t="e">
        <f ca="1">[1]!BExGetData("DP_3","00O2TQ2O5Z7FJVQ908TMEO88W","068")</f>
        <v>#NAME?</v>
      </c>
      <c r="D52" s="5" t="e">
        <f ca="1">[1]!BExGetData("DP_3","003N8D85VN5Y8JTZB37OIE4JK","068")</f>
        <v>#NAME?</v>
      </c>
      <c r="E52" s="7" t="e">
        <f ca="1">[1]!BExGetData("DP_3","00O2TQ2O5Z7FNA9G6FR9AOUY9","068")</f>
        <v>#NAME?</v>
      </c>
      <c r="F52" s="5" t="e">
        <f ca="1">[1]!BExGetData("DP_3","003N8D85VN5Y8JTZB37OIEH6O","068")</f>
        <v>#NAME?</v>
      </c>
      <c r="G52" s="5" t="e">
        <f ca="1">[1]!BExGetData("DP_3","003N8D85VN5Y8JTZB37OIENI8","068")</f>
        <v>#NAME?</v>
      </c>
      <c r="H52" s="4" t="e">
        <f ca="1">[1]!BExGetData("DP_3","003N8D85VN5Y504OEKKJ0EP6G","068")</f>
        <v>#NAME?</v>
      </c>
    </row>
    <row r="53" spans="1:8" x14ac:dyDescent="0.2">
      <c r="A53" s="2" t="s">
        <v>67</v>
      </c>
      <c r="B53" s="2" t="s">
        <v>68</v>
      </c>
      <c r="C53" s="5" t="e">
        <f ca="1">[1]!BExGetData("DP_3","00O2TQ2O5Z7FJVQ908TMEO88W","069")</f>
        <v>#NAME?</v>
      </c>
      <c r="D53" s="5" t="e">
        <f ca="1">[1]!BExGetData("DP_3","003N8D85VN5Y8JTZB37OIE4JK","069")</f>
        <v>#NAME?</v>
      </c>
      <c r="E53" s="7" t="e">
        <f ca="1">[1]!BExGetData("DP_3","00O2TQ2O5Z7FNA9G6FR9AOUY9","069")</f>
        <v>#NAME?</v>
      </c>
      <c r="F53" s="5" t="e">
        <f ca="1">[1]!BExGetData("DP_3","003N8D85VN5Y8JTZB37OIEH6O","069")</f>
        <v>#NAME?</v>
      </c>
      <c r="G53" s="5" t="e">
        <f ca="1">[1]!BExGetData("DP_3","003N8D85VN5Y8JTZB37OIENI8","069")</f>
        <v>#NAME?</v>
      </c>
      <c r="H53" s="4" t="e">
        <f ca="1">[1]!BExGetData("DP_3","003N8D85VN5Y504OEKKJ0EP6G","069")</f>
        <v>#NAME?</v>
      </c>
    </row>
    <row r="54" spans="1:8" x14ac:dyDescent="0.2">
      <c r="A54" s="2" t="s">
        <v>138</v>
      </c>
      <c r="B54" s="2" t="s">
        <v>139</v>
      </c>
      <c r="C54" s="5" t="e">
        <f ca="1">[1]!BExGetData("DP_3","00O2TQ2O5Z7FJVQ908TMEO88W","070")</f>
        <v>#NAME?</v>
      </c>
      <c r="D54" s="5" t="e">
        <f ca="1">[1]!BExGetData("DP_3","003N8D85VN5Y8JTZB37OIE4JK","070")</f>
        <v>#NAME?</v>
      </c>
      <c r="E54" s="7" t="e">
        <f ca="1">[1]!BExGetData("DP_3","00O2TQ2O5Z7FNA9G6FR9AOUY9","070")</f>
        <v>#NAME?</v>
      </c>
      <c r="F54" s="5" t="e">
        <f ca="1">[1]!BExGetData("DP_3","003N8D85VN5Y8JTZB37OIEH6O","070")</f>
        <v>#NAME?</v>
      </c>
      <c r="G54" s="5" t="e">
        <f ca="1">[1]!BExGetData("DP_3","003N8D85VN5Y8JTZB37OIENI8","070")</f>
        <v>#NAME?</v>
      </c>
      <c r="H54" s="4" t="e">
        <f ca="1">[1]!BExGetData("DP_3","003N8D85VN5Y504OEKKJ0EP6G","070")</f>
        <v>#NAME?</v>
      </c>
    </row>
    <row r="55" spans="1:8" x14ac:dyDescent="0.2">
      <c r="A55" s="2" t="s">
        <v>69</v>
      </c>
      <c r="B55" s="2" t="s">
        <v>70</v>
      </c>
      <c r="C55" s="5" t="e">
        <f ca="1">[1]!BExGetData("DP_3","00O2TQ2O5Z7FJVQ908TMEO88W","071")</f>
        <v>#NAME?</v>
      </c>
      <c r="D55" s="5" t="e">
        <f ca="1">[1]!BExGetData("DP_3","003N8D85VN5Y8JTZB37OIE4JK","071")</f>
        <v>#NAME?</v>
      </c>
      <c r="E55" s="7" t="e">
        <f ca="1">[1]!BExGetData("DP_3","00O2TQ2O5Z7FNA9G6FR9AOUY9","071")</f>
        <v>#NAME?</v>
      </c>
      <c r="F55" s="5" t="e">
        <f ca="1">[1]!BExGetData("DP_3","003N8D85VN5Y8JTZB37OIEH6O","071")</f>
        <v>#NAME?</v>
      </c>
      <c r="G55" s="5" t="e">
        <f ca="1">[1]!BExGetData("DP_3","003N8D85VN5Y8JTZB37OIENI8","071")</f>
        <v>#NAME?</v>
      </c>
      <c r="H55" s="4" t="e">
        <f ca="1">[1]!BExGetData("DP_3","003N8D85VN5Y504OEKKJ0EP6G","071")</f>
        <v>#NAME?</v>
      </c>
    </row>
    <row r="56" spans="1:8" x14ac:dyDescent="0.2">
      <c r="A56" s="2" t="s">
        <v>140</v>
      </c>
      <c r="B56" s="2" t="s">
        <v>167</v>
      </c>
      <c r="C56" s="5" t="e">
        <f ca="1">[1]!BExGetData("DP_3","00O2TQ2O5Z7FJVQ908TMEO88W","073")</f>
        <v>#NAME?</v>
      </c>
      <c r="D56" s="5" t="e">
        <f ca="1">[1]!BExGetData("DP_3","003N8D85VN5Y8JTZB37OIE4JK","073")</f>
        <v>#NAME?</v>
      </c>
      <c r="E56" s="7" t="e">
        <f ca="1">[1]!BExGetData("DP_3","00O2TQ2O5Z7FNA9G6FR9AOUY9","073")</f>
        <v>#NAME?</v>
      </c>
      <c r="F56" s="5" t="e">
        <f ca="1">[1]!BExGetData("DP_3","003N8D85VN5Y8JTZB37OIEH6O","073")</f>
        <v>#NAME?</v>
      </c>
      <c r="G56" s="5" t="e">
        <f ca="1">[1]!BExGetData("DP_3","003N8D85VN5Y8JTZB37OIENI8","073")</f>
        <v>#NAME?</v>
      </c>
      <c r="H56" s="4" t="e">
        <f ca="1">[1]!BExGetData("DP_3","003N8D85VN5Y504OEKKJ0EP6G","073")</f>
        <v>#NAME?</v>
      </c>
    </row>
    <row r="57" spans="1:8" x14ac:dyDescent="0.2">
      <c r="A57" s="2" t="s">
        <v>71</v>
      </c>
      <c r="B57" s="2" t="s">
        <v>72</v>
      </c>
      <c r="C57" s="5" t="e">
        <f ca="1">[1]!BExGetData("DP_3","00O2TQ2O5Z7FJVQ908TMEO88W","074")</f>
        <v>#NAME?</v>
      </c>
      <c r="D57" s="5" t="e">
        <f ca="1">[1]!BExGetData("DP_3","003N8D85VN5Y8JTZB37OIE4JK","074")</f>
        <v>#NAME?</v>
      </c>
      <c r="E57" s="7" t="e">
        <f ca="1">[1]!BExGetData("DP_3","00O2TQ2O5Z7FNA9G6FR9AOUY9","074")</f>
        <v>#NAME?</v>
      </c>
      <c r="F57" s="5" t="e">
        <f ca="1">[1]!BExGetData("DP_3","003N8D85VN5Y8JTZB37OIEH6O","074")</f>
        <v>#NAME?</v>
      </c>
      <c r="G57" s="5" t="e">
        <f ca="1">[1]!BExGetData("DP_3","003N8D85VN5Y8JTZB37OIENI8","074")</f>
        <v>#NAME?</v>
      </c>
      <c r="H57" s="4" t="e">
        <f ca="1">[1]!BExGetData("DP_3","003N8D85VN5Y504OEKKJ0EP6G","074")</f>
        <v>#NAME?</v>
      </c>
    </row>
    <row r="58" spans="1:8" x14ac:dyDescent="0.2">
      <c r="A58" s="2" t="s">
        <v>73</v>
      </c>
      <c r="B58" s="2" t="s">
        <v>74</v>
      </c>
      <c r="C58" s="5" t="e">
        <f ca="1">[1]!BExGetData("DP_3","00O2TQ2O5Z7FJVQ908TMEO88W","075")</f>
        <v>#NAME?</v>
      </c>
      <c r="D58" s="4" t="e">
        <f ca="1">[1]!BExGetData("DP_3","003N8D85VN5Y8JTZB37OIE4JK","075")</f>
        <v>#NAME?</v>
      </c>
      <c r="E58" s="7" t="e">
        <f ca="1">[1]!BExGetData("DP_3","00O2TQ2O5Z7FNA9G6FR9AOUY9","075")</f>
        <v>#NAME?</v>
      </c>
      <c r="F58" s="5" t="e">
        <f ca="1">[1]!BExGetData("DP_3","003N8D85VN5Y8JTZB37OIEH6O","075")</f>
        <v>#NAME?</v>
      </c>
      <c r="G58" s="5" t="e">
        <f ca="1">[1]!BExGetData("DP_3","003N8D85VN5Y8JTZB37OIENI8","075")</f>
        <v>#NAME?</v>
      </c>
      <c r="H58" s="5" t="e">
        <f ca="1">[1]!BExGetData("DP_3","003N8D85VN5Y504OEKKJ0EP6G","075")</f>
        <v>#NAME?</v>
      </c>
    </row>
    <row r="59" spans="1:8" x14ac:dyDescent="0.2">
      <c r="A59" s="2" t="s">
        <v>92</v>
      </c>
      <c r="B59" s="2" t="s">
        <v>168</v>
      </c>
      <c r="C59" s="5" t="e">
        <f ca="1">[1]!BExGetData("DP_3","00O2TQ2O5Z7FJVQ908TMEO88W","078")</f>
        <v>#NAME?</v>
      </c>
      <c r="D59" s="5" t="e">
        <f ca="1">[1]!BExGetData("DP_3","003N8D85VN5Y8JTZB37OIE4JK","078")</f>
        <v>#NAME?</v>
      </c>
      <c r="E59" s="7" t="e">
        <f ca="1">[1]!BExGetData("DP_3","00O2TQ2O5Z7FNA9G6FR9AOUY9","078")</f>
        <v>#NAME?</v>
      </c>
      <c r="F59" s="5" t="e">
        <f ca="1">[1]!BExGetData("DP_3","003N8D85VN5Y8JTZB37OIEH6O","078")</f>
        <v>#NAME?</v>
      </c>
      <c r="G59" s="5" t="e">
        <f ca="1">[1]!BExGetData("DP_3","003N8D85VN5Y8JTZB37OIENI8","078")</f>
        <v>#NAME?</v>
      </c>
      <c r="H59" s="4" t="e">
        <f ca="1">[1]!BExGetData("DP_3","003N8D85VN5Y504OEKKJ0EP6G","078")</f>
        <v>#NAME?</v>
      </c>
    </row>
    <row r="60" spans="1:8" x14ac:dyDescent="0.2">
      <c r="A60" s="2" t="s">
        <v>141</v>
      </c>
      <c r="B60" s="2" t="s">
        <v>142</v>
      </c>
      <c r="C60" s="5" t="e">
        <f ca="1">[1]!BExGetData("DP_3","00O2TQ2O5Z7FJVQ908TMEO88W","079")</f>
        <v>#NAME?</v>
      </c>
      <c r="D60" s="4" t="e">
        <f ca="1">[1]!BExGetData("DP_3","003N8D85VN5Y8JTZB37OIE4JK","079")</f>
        <v>#NAME?</v>
      </c>
      <c r="E60" s="7" t="e">
        <f ca="1">[1]!BExGetData("DP_3","00O2TQ2O5Z7FNA9G6FR9AOUY9","079")</f>
        <v>#NAME?</v>
      </c>
      <c r="F60" s="5" t="e">
        <f ca="1">[1]!BExGetData("DP_3","003N8D85VN5Y8JTZB37OIEH6O","079")</f>
        <v>#NAME?</v>
      </c>
      <c r="G60" s="5" t="e">
        <f ca="1">[1]!BExGetData("DP_3","003N8D85VN5Y8JTZB37OIENI8","079")</f>
        <v>#NAME?</v>
      </c>
      <c r="H60" s="5" t="e">
        <f ca="1">[1]!BExGetData("DP_3","003N8D85VN5Y504OEKKJ0EP6G","079")</f>
        <v>#NAME?</v>
      </c>
    </row>
    <row r="61" spans="1:8" x14ac:dyDescent="0.2">
      <c r="A61" s="2" t="s">
        <v>93</v>
      </c>
      <c r="B61" s="2" t="s">
        <v>169</v>
      </c>
      <c r="C61" s="5" t="e">
        <f ca="1">[1]!BExGetData("DP_3","00O2TQ2O5Z7FJVQ908TMEO88W","080")</f>
        <v>#NAME?</v>
      </c>
      <c r="D61" s="5" t="e">
        <f ca="1">[1]!BExGetData("DP_3","003N8D85VN5Y8JTZB37OIE4JK","080")</f>
        <v>#NAME?</v>
      </c>
      <c r="E61" s="7" t="e">
        <f ca="1">[1]!BExGetData("DP_3","00O2TQ2O5Z7FNA9G6FR9AOUY9","080")</f>
        <v>#NAME?</v>
      </c>
      <c r="F61" s="5" t="e">
        <f ca="1">[1]!BExGetData("DP_3","003N8D85VN5Y8JTZB37OIEH6O","080")</f>
        <v>#NAME?</v>
      </c>
      <c r="G61" s="5" t="e">
        <f ca="1">[1]!BExGetData("DP_3","003N8D85VN5Y8JTZB37OIENI8","080")</f>
        <v>#NAME?</v>
      </c>
      <c r="H61" s="4" t="e">
        <f ca="1">[1]!BExGetData("DP_3","003N8D85VN5Y504OEKKJ0EP6G","080")</f>
        <v>#NAME?</v>
      </c>
    </row>
    <row r="62" spans="1:8" x14ac:dyDescent="0.2">
      <c r="A62" s="2" t="s">
        <v>75</v>
      </c>
      <c r="B62" s="2" t="s">
        <v>76</v>
      </c>
      <c r="C62" s="5" t="e">
        <f ca="1">[1]!BExGetData("DP_3","00O2TQ2O5Z7FJVQ908TMEO88W","081")</f>
        <v>#NAME?</v>
      </c>
      <c r="D62" s="5" t="e">
        <f ca="1">[1]!BExGetData("DP_3","003N8D85VN5Y8JTZB37OIE4JK","081")</f>
        <v>#NAME?</v>
      </c>
      <c r="E62" s="7" t="e">
        <f ca="1">[1]!BExGetData("DP_3","00O2TQ2O5Z7FNA9G6FR9AOUY9","081")</f>
        <v>#NAME?</v>
      </c>
      <c r="F62" s="5" t="e">
        <f ca="1">[1]!BExGetData("DP_3","003N8D85VN5Y8JTZB37OIEH6O","081")</f>
        <v>#NAME?</v>
      </c>
      <c r="G62" s="5" t="e">
        <f ca="1">[1]!BExGetData("DP_3","003N8D85VN5Y8JTZB37OIENI8","081")</f>
        <v>#NAME?</v>
      </c>
      <c r="H62" s="5" t="e">
        <f ca="1">[1]!BExGetData("DP_3","003N8D85VN5Y504OEKKJ0EP6G","081")</f>
        <v>#NAME?</v>
      </c>
    </row>
    <row r="63" spans="1:8" x14ac:dyDescent="0.2">
      <c r="A63" s="2" t="s">
        <v>77</v>
      </c>
      <c r="B63" s="2" t="s">
        <v>78</v>
      </c>
      <c r="C63" s="5" t="e">
        <f ca="1">[1]!BExGetData("DP_3","00O2TQ2O5Z7FJVQ908TMEO88W","082")</f>
        <v>#NAME?</v>
      </c>
      <c r="D63" s="5" t="e">
        <f ca="1">[1]!BExGetData("DP_3","003N8D85VN5Y8JTZB37OIE4JK","082")</f>
        <v>#NAME?</v>
      </c>
      <c r="E63" s="7" t="e">
        <f ca="1">[1]!BExGetData("DP_3","00O2TQ2O5Z7FNA9G6FR9AOUY9","082")</f>
        <v>#NAME?</v>
      </c>
      <c r="F63" s="5" t="e">
        <f ca="1">[1]!BExGetData("DP_3","003N8D85VN5Y8JTZB37OIEH6O","082")</f>
        <v>#NAME?</v>
      </c>
      <c r="G63" s="5" t="e">
        <f ca="1">[1]!BExGetData("DP_3","003N8D85VN5Y8JTZB37OIENI8","082")</f>
        <v>#NAME?</v>
      </c>
      <c r="H63" s="4" t="e">
        <f ca="1">[1]!BExGetData("DP_3","003N8D85VN5Y504OEKKJ0EP6G","082")</f>
        <v>#NAME?</v>
      </c>
    </row>
    <row r="64" spans="1:8" x14ac:dyDescent="0.2">
      <c r="A64" s="2" t="s">
        <v>143</v>
      </c>
      <c r="B64" s="2" t="s">
        <v>144</v>
      </c>
      <c r="C64" s="5" t="e">
        <f ca="1">[1]!BExGetData("DP_3","00O2TQ2O5Z7FJVQ908TMEO88W","083")</f>
        <v>#NAME?</v>
      </c>
      <c r="D64" s="5" t="e">
        <f ca="1">[1]!BExGetData("DP_3","003N8D85VN5Y8JTZB37OIE4JK","083")</f>
        <v>#NAME?</v>
      </c>
      <c r="E64" s="7" t="e">
        <f ca="1">[1]!BExGetData("DP_3","00O2TQ2O5Z7FNA9G6FR9AOUY9","083")</f>
        <v>#NAME?</v>
      </c>
      <c r="F64" s="5" t="e">
        <f ca="1">[1]!BExGetData("DP_3","003N8D85VN5Y8JTZB37OIEH6O","083")</f>
        <v>#NAME?</v>
      </c>
      <c r="G64" s="5" t="e">
        <f ca="1">[1]!BExGetData("DP_3","003N8D85VN5Y8JTZB37OIENI8","083")</f>
        <v>#NAME?</v>
      </c>
      <c r="H64" s="4" t="e">
        <f ca="1">[1]!BExGetData("DP_3","003N8D85VN5Y504OEKKJ0EP6G","083")</f>
        <v>#NAME?</v>
      </c>
    </row>
    <row r="65" spans="1:8" x14ac:dyDescent="0.2">
      <c r="A65" s="2" t="s">
        <v>145</v>
      </c>
      <c r="B65" s="2" t="s">
        <v>146</v>
      </c>
      <c r="C65" s="5" t="e">
        <f ca="1">[1]!BExGetData("DP_3","00O2TQ2O5Z7FJVQ908TMEO88W","084")</f>
        <v>#NAME?</v>
      </c>
      <c r="D65" s="5" t="e">
        <f ca="1">[1]!BExGetData("DP_3","003N8D85VN5Y8JTZB37OIE4JK","084")</f>
        <v>#NAME?</v>
      </c>
      <c r="E65" s="7" t="e">
        <f ca="1">[1]!BExGetData("DP_3","00O2TQ2O5Z7FNA9G6FR9AOUY9","084")</f>
        <v>#NAME?</v>
      </c>
      <c r="F65" s="5" t="e">
        <f ca="1">[1]!BExGetData("DP_3","003N8D85VN5Y8JTZB37OIEH6O","084")</f>
        <v>#NAME?</v>
      </c>
      <c r="G65" s="5" t="e">
        <f ca="1">[1]!BExGetData("DP_3","003N8D85VN5Y8JTZB37OIENI8","084")</f>
        <v>#NAME?</v>
      </c>
      <c r="H65" s="4" t="e">
        <f ca="1">[1]!BExGetData("DP_3","003N8D85VN5Y504OEKKJ0EP6G","084")</f>
        <v>#NAME?</v>
      </c>
    </row>
    <row r="66" spans="1:8" x14ac:dyDescent="0.2">
      <c r="A66" s="2" t="s">
        <v>79</v>
      </c>
      <c r="B66" s="2" t="s">
        <v>80</v>
      </c>
      <c r="C66" s="5" t="e">
        <f ca="1">[1]!BExGetData("DP_3","00O2TQ2O5Z7FJVQ908TMEO88W","085")</f>
        <v>#NAME?</v>
      </c>
      <c r="D66" s="5" t="e">
        <f ca="1">[1]!BExGetData("DP_3","003N8D85VN5Y8JTZB37OIE4JK","085")</f>
        <v>#NAME?</v>
      </c>
      <c r="E66" s="7" t="e">
        <f ca="1">[1]!BExGetData("DP_3","00O2TQ2O5Z7FNA9G6FR9AOUY9","085")</f>
        <v>#NAME?</v>
      </c>
      <c r="F66" s="5" t="e">
        <f ca="1">[1]!BExGetData("DP_3","003N8D85VN5Y8JTZB37OIEH6O","085")</f>
        <v>#NAME?</v>
      </c>
      <c r="G66" s="5" t="e">
        <f ca="1">[1]!BExGetData("DP_3","003N8D85VN5Y8JTZB37OIENI8","085")</f>
        <v>#NAME?</v>
      </c>
      <c r="H66" s="4" t="e">
        <f ca="1">[1]!BExGetData("DP_3","003N8D85VN5Y504OEKKJ0EP6G","085")</f>
        <v>#NAME?</v>
      </c>
    </row>
    <row r="67" spans="1:8" x14ac:dyDescent="0.2">
      <c r="A67" s="2" t="s">
        <v>81</v>
      </c>
      <c r="B67" s="2" t="s">
        <v>82</v>
      </c>
      <c r="C67" s="5" t="e">
        <f ca="1">[1]!BExGetData("DP_3","00O2TQ2O5Z7FJVQ908TMEO88W","087")</f>
        <v>#NAME?</v>
      </c>
      <c r="D67" s="5" t="e">
        <f ca="1">[1]!BExGetData("DP_3","003N8D85VN5Y8JTZB37OIE4JK","087")</f>
        <v>#NAME?</v>
      </c>
      <c r="E67" s="7" t="e">
        <f ca="1">[1]!BExGetData("DP_3","00O2TQ2O5Z7FNA9G6FR9AOUY9","087")</f>
        <v>#NAME?</v>
      </c>
      <c r="F67" s="5" t="e">
        <f ca="1">[1]!BExGetData("DP_3","003N8D85VN5Y8JTZB37OIEH6O","087")</f>
        <v>#NAME?</v>
      </c>
      <c r="G67" s="5" t="e">
        <f ca="1">[1]!BExGetData("DP_3","003N8D85VN5Y8JTZB37OIENI8","087")</f>
        <v>#NAME?</v>
      </c>
      <c r="H67" s="4" t="e">
        <f ca="1">[1]!BExGetData("DP_3","003N8D85VN5Y504OEKKJ0EP6G","087")</f>
        <v>#NAME?</v>
      </c>
    </row>
    <row r="68" spans="1:8" x14ac:dyDescent="0.2">
      <c r="A68" s="2" t="s">
        <v>147</v>
      </c>
      <c r="B68" s="2" t="s">
        <v>148</v>
      </c>
      <c r="C68" s="5" t="e">
        <f ca="1">[1]!BExGetData("DP_3","00O2TQ2O5Z7FJVQ908TMEO88W","088")</f>
        <v>#NAME?</v>
      </c>
      <c r="D68" s="5" t="e">
        <f ca="1">[1]!BExGetData("DP_3","003N8D85VN5Y8JTZB37OIE4JK","088")</f>
        <v>#NAME?</v>
      </c>
      <c r="E68" s="7" t="e">
        <f ca="1">[1]!BExGetData("DP_3","00O2TQ2O5Z7FNA9G6FR9AOUY9","088")</f>
        <v>#NAME?</v>
      </c>
      <c r="F68" s="5" t="e">
        <f ca="1">[1]!BExGetData("DP_3","003N8D85VN5Y8JTZB37OIEH6O","088")</f>
        <v>#NAME?</v>
      </c>
      <c r="G68" s="5" t="e">
        <f ca="1">[1]!BExGetData("DP_3","003N8D85VN5Y8JTZB37OIENI8","088")</f>
        <v>#NAME?</v>
      </c>
      <c r="H68" s="4" t="e">
        <f ca="1">[1]!BExGetData("DP_3","003N8D85VN5Y504OEKKJ0EP6G","088")</f>
        <v>#NAME?</v>
      </c>
    </row>
    <row r="69" spans="1:8" x14ac:dyDescent="0.2">
      <c r="A69" s="2" t="s">
        <v>149</v>
      </c>
      <c r="B69" s="2" t="s">
        <v>170</v>
      </c>
      <c r="C69" s="5" t="e">
        <f ca="1">[1]!BExGetData("DP_3","00O2TQ2O5Z7FJVQ908TMEO88W","089")</f>
        <v>#NAME?</v>
      </c>
      <c r="D69" s="5" t="e">
        <f ca="1">[1]!BExGetData("DP_3","003N8D85VN5Y8JTZB37OIE4JK","089")</f>
        <v>#NAME?</v>
      </c>
      <c r="E69" s="7" t="e">
        <f ca="1">[1]!BExGetData("DP_3","00O2TQ2O5Z7FNA9G6FR9AOUY9","089")</f>
        <v>#NAME?</v>
      </c>
      <c r="F69" s="5" t="e">
        <f ca="1">[1]!BExGetData("DP_3","003N8D85VN5Y8JTZB37OIEH6O","089")</f>
        <v>#NAME?</v>
      </c>
      <c r="G69" s="5" t="e">
        <f ca="1">[1]!BExGetData("DP_3","003N8D85VN5Y8JTZB37OIENI8","089")</f>
        <v>#NAME?</v>
      </c>
      <c r="H69" s="4" t="e">
        <f ca="1">[1]!BExGetData("DP_3","003N8D85VN5Y504OEKKJ0EP6G","089")</f>
        <v>#NAME?</v>
      </c>
    </row>
    <row r="70" spans="1:8" x14ac:dyDescent="0.2">
      <c r="A70" s="2" t="s">
        <v>150</v>
      </c>
      <c r="B70" s="2" t="s">
        <v>171</v>
      </c>
      <c r="C70" s="5" t="e">
        <f ca="1">[1]!BExGetData("DP_3","00O2TQ2O5Z7FJVQ908TMEO88W","090")</f>
        <v>#NAME?</v>
      </c>
      <c r="D70" s="5" t="e">
        <f ca="1">[1]!BExGetData("DP_3","003N8D85VN5Y8JTZB37OIE4JK","090")</f>
        <v>#NAME?</v>
      </c>
      <c r="E70" s="9" t="e">
        <f ca="1">[1]!BExGetData("DP_3","00O2TQ2O5Z7FNA9G6FR9AOUY9","090")</f>
        <v>#NAME?</v>
      </c>
      <c r="F70" s="4" t="e">
        <f ca="1">[1]!BExGetData("DP_3","003N8D85VN5Y8JTZB37OIEH6O","090")</f>
        <v>#NAME?</v>
      </c>
      <c r="G70" s="4" t="e">
        <f ca="1">[1]!BExGetData("DP_3","003N8D85VN5Y8JTZB37OIENI8","090")</f>
        <v>#NAME?</v>
      </c>
      <c r="H70" s="4" t="e">
        <f ca="1">[1]!BExGetData("DP_3","003N8D85VN5Y504OEKKJ0EP6G","090")</f>
        <v>#NAME?</v>
      </c>
    </row>
    <row r="71" spans="1:8" x14ac:dyDescent="0.2">
      <c r="A71" s="2" t="s">
        <v>83</v>
      </c>
      <c r="B71" s="2" t="s">
        <v>84</v>
      </c>
      <c r="C71" s="5" t="e">
        <f ca="1">[1]!BExGetData("DP_3","00O2TQ2O5Z7FJVQ908TMEO88W","093")</f>
        <v>#NAME?</v>
      </c>
      <c r="D71" s="5" t="e">
        <f ca="1">[1]!BExGetData("DP_3","003N8D85VN5Y8JTZB37OIE4JK","093")</f>
        <v>#NAME?</v>
      </c>
      <c r="E71" s="7" t="e">
        <f ca="1">[1]!BExGetData("DP_3","00O2TQ2O5Z7FNA9G6FR9AOUY9","093")</f>
        <v>#NAME?</v>
      </c>
      <c r="F71" s="5" t="e">
        <f ca="1">[1]!BExGetData("DP_3","003N8D85VN5Y8JTZB37OIEH6O","093")</f>
        <v>#NAME?</v>
      </c>
      <c r="G71" s="5" t="e">
        <f ca="1">[1]!BExGetData("DP_3","003N8D85VN5Y8JTZB37OIENI8","093")</f>
        <v>#NAME?</v>
      </c>
      <c r="H71" s="4" t="e">
        <f ca="1">[1]!BExGetData("DP_3","003N8D85VN5Y504OEKKJ0EP6G","093")</f>
        <v>#NAME?</v>
      </c>
    </row>
    <row r="72" spans="1:8" x14ac:dyDescent="0.2">
      <c r="A72" s="2" t="s">
        <v>85</v>
      </c>
      <c r="B72" s="2" t="s">
        <v>86</v>
      </c>
      <c r="C72" s="5" t="e">
        <f ca="1">[1]!BExGetData("DP_3","00O2TQ2O5Z7FJVQ908TMEO88W","094")</f>
        <v>#NAME?</v>
      </c>
      <c r="D72" s="5" t="e">
        <f ca="1">[1]!BExGetData("DP_3","003N8D85VN5Y8JTZB37OIE4JK","094")</f>
        <v>#NAME?</v>
      </c>
      <c r="E72" s="7" t="e">
        <f ca="1">[1]!BExGetData("DP_3","00O2TQ2O5Z7FNA9G6FR9AOUY9","094")</f>
        <v>#NAME?</v>
      </c>
      <c r="F72" s="5" t="e">
        <f ca="1">[1]!BExGetData("DP_3","003N8D85VN5Y8JTZB37OIEH6O","094")</f>
        <v>#NAME?</v>
      </c>
      <c r="G72" s="5" t="e">
        <f ca="1">[1]!BExGetData("DP_3","003N8D85VN5Y8JTZB37OIENI8","094")</f>
        <v>#NAME?</v>
      </c>
      <c r="H72" s="4" t="e">
        <f ca="1">[1]!BExGetData("DP_3","003N8D85VN5Y504OEKKJ0EP6G","094")</f>
        <v>#NAME?</v>
      </c>
    </row>
    <row r="73" spans="1:8" x14ac:dyDescent="0.2">
      <c r="A73" s="2" t="s">
        <v>87</v>
      </c>
      <c r="B73" s="2" t="s">
        <v>88</v>
      </c>
      <c r="C73" s="5" t="e">
        <f ca="1">[1]!BExGetData("DP_3","00O2TQ2O5Z7FJVQ908TMEO88W","095")</f>
        <v>#NAME?</v>
      </c>
      <c r="D73" s="5" t="e">
        <f ca="1">[1]!BExGetData("DP_3","003N8D85VN5Y8JTZB37OIE4JK","095")</f>
        <v>#NAME?</v>
      </c>
      <c r="E73" s="7" t="e">
        <f ca="1">[1]!BExGetData("DP_3","00O2TQ2O5Z7FNA9G6FR9AOUY9","095")</f>
        <v>#NAME?</v>
      </c>
      <c r="F73" s="5" t="e">
        <f ca="1">[1]!BExGetData("DP_3","003N8D85VN5Y8JTZB37OIEH6O","095")</f>
        <v>#NAME?</v>
      </c>
      <c r="G73" s="5" t="e">
        <f ca="1">[1]!BExGetData("DP_3","003N8D85VN5Y8JTZB37OIENI8","095")</f>
        <v>#NAME?</v>
      </c>
      <c r="H73" s="5" t="e">
        <f ca="1">[1]!BExGetData("DP_3","003N8D85VN5Y504OEKKJ0EP6G","095")</f>
        <v>#NAME?</v>
      </c>
    </row>
    <row r="74" spans="1:8" x14ac:dyDescent="0.2">
      <c r="A74" s="2" t="s">
        <v>151</v>
      </c>
      <c r="B74" s="2" t="s">
        <v>172</v>
      </c>
      <c r="C74" s="5" t="e">
        <f ca="1">[1]!BExGetData("DP_3","00O2TQ2O5Z7FJVQ908TMEO88W","096")</f>
        <v>#NAME?</v>
      </c>
      <c r="D74" s="5" t="e">
        <f ca="1">[1]!BExGetData("DP_3","003N8D85VN5Y8JTZB37OIE4JK","096")</f>
        <v>#NAME?</v>
      </c>
      <c r="E74" s="7" t="e">
        <f ca="1">[1]!BExGetData("DP_3","00O2TQ2O5Z7FNA9G6FR9AOUY9","096")</f>
        <v>#NAME?</v>
      </c>
      <c r="F74" s="5" t="e">
        <f ca="1">[1]!BExGetData("DP_3","003N8D85VN5Y8JTZB37OIEH6O","096")</f>
        <v>#NAME?</v>
      </c>
      <c r="G74" s="5" t="e">
        <f ca="1">[1]!BExGetData("DP_3","003N8D85VN5Y8JTZB37OIENI8","096")</f>
        <v>#NAME?</v>
      </c>
      <c r="H74" s="4" t="e">
        <f ca="1">[1]!BExGetData("DP_3","003N8D85VN5Y504OEKKJ0EP6G","096")</f>
        <v>#NAME?</v>
      </c>
    </row>
    <row r="75" spans="1:8" x14ac:dyDescent="0.2">
      <c r="A75" s="2" t="s">
        <v>152</v>
      </c>
      <c r="B75" s="2" t="s">
        <v>173</v>
      </c>
      <c r="C75" s="5" t="e">
        <f ca="1">[1]!BExGetData("DP_3","00O2TQ2O5Z7FJVQ908TMEO88W","098")</f>
        <v>#NAME?</v>
      </c>
      <c r="D75" s="5" t="e">
        <f ca="1">[1]!BExGetData("DP_3","003N8D85VN5Y8JTZB37OIE4JK","098")</f>
        <v>#NAME?</v>
      </c>
      <c r="E75" s="7" t="e">
        <f ca="1">[1]!BExGetData("DP_3","00O2TQ2O5Z7FNA9G6FR9AOUY9","098")</f>
        <v>#NAME?</v>
      </c>
      <c r="F75" s="5" t="e">
        <f ca="1">[1]!BExGetData("DP_3","003N8D85VN5Y8JTZB37OIEH6O","098")</f>
        <v>#NAME?</v>
      </c>
      <c r="G75" s="5" t="e">
        <f ca="1">[1]!BExGetData("DP_3","003N8D85VN5Y8JTZB37OIENI8","098")</f>
        <v>#NAME?</v>
      </c>
      <c r="H75" s="4" t="e">
        <f ca="1">[1]!BExGetData("DP_3","003N8D85VN5Y504OEKKJ0EP6G","098")</f>
        <v>#NAME?</v>
      </c>
    </row>
    <row r="76" spans="1:8" x14ac:dyDescent="0.2">
      <c r="A76" s="2" t="s">
        <v>153</v>
      </c>
      <c r="B76" s="2" t="s">
        <v>154</v>
      </c>
      <c r="C76" s="5" t="e">
        <f ca="1">[1]!BExGetData("DP_3","00O2TQ2O5Z7FJVQ908TMEO88W","099")</f>
        <v>#NAME?</v>
      </c>
      <c r="D76" s="5" t="e">
        <f ca="1">[1]!BExGetData("DP_3","003N8D85VN5Y8JTZB37OIE4JK","099")</f>
        <v>#NAME?</v>
      </c>
      <c r="E76" s="7" t="e">
        <f ca="1">[1]!BExGetData("DP_3","00O2TQ2O5Z7FNA9G6FR9AOUY9","099")</f>
        <v>#NAME?</v>
      </c>
      <c r="F76" s="5" t="e">
        <f ca="1">[1]!BExGetData("DP_3","003N8D85VN5Y8JTZB37OIEH6O","099")</f>
        <v>#NAME?</v>
      </c>
      <c r="G76" s="5" t="e">
        <f ca="1">[1]!BExGetData("DP_3","003N8D85VN5Y8JTZB37OIENI8","099")</f>
        <v>#NAME?</v>
      </c>
      <c r="H76" s="4" t="e">
        <f ca="1">[1]!BExGetData("DP_3","003N8D85VN5Y504OEKKJ0EP6G","099")</f>
        <v>#NAME?</v>
      </c>
    </row>
    <row r="77" spans="1:8" x14ac:dyDescent="0.2">
      <c r="A77" s="2" t="s">
        <v>89</v>
      </c>
      <c r="B77" s="2" t="s">
        <v>174</v>
      </c>
      <c r="C77" s="5" t="e">
        <f ca="1">[1]!BExGetData("DP_3","00O2TQ2O5Z7FJVQ908TMEO88W","100")</f>
        <v>#NAME?</v>
      </c>
      <c r="D77" s="5" t="e">
        <f ca="1">[1]!BExGetData("DP_3","003N8D85VN5Y8JTZB37OIE4JK","100")</f>
        <v>#NAME?</v>
      </c>
      <c r="E77" s="7" t="e">
        <f ca="1">[1]!BExGetData("DP_3","00O2TQ2O5Z7FNA9G6FR9AOUY9","100")</f>
        <v>#NAME?</v>
      </c>
      <c r="F77" s="5" t="e">
        <f ca="1">[1]!BExGetData("DP_3","003N8D85VN5Y8JTZB37OIEH6O","100")</f>
        <v>#NAME?</v>
      </c>
      <c r="G77" s="5" t="e">
        <f ca="1">[1]!BExGetData("DP_3","003N8D85VN5Y8JTZB37OIENI8","100")</f>
        <v>#NAME?</v>
      </c>
      <c r="H77" s="5" t="e">
        <f ca="1">[1]!BExGetData("DP_3","003N8D85VN5Y504OEKKJ0EP6G","100")</f>
        <v>#NAME?</v>
      </c>
    </row>
    <row r="78" spans="1:8" x14ac:dyDescent="0.2">
      <c r="A78" s="2" t="s">
        <v>155</v>
      </c>
      <c r="B78" s="2" t="s">
        <v>175</v>
      </c>
      <c r="C78" s="5" t="e">
        <f ca="1">[1]!BExGetData("DP_3","00O2TQ2O5Z7FJVQ908TMEO88W","101")</f>
        <v>#NAME?</v>
      </c>
      <c r="D78" s="5" t="e">
        <f ca="1">[1]!BExGetData("DP_3","003N8D85VN5Y8JTZB37OIE4JK","101")</f>
        <v>#NAME?</v>
      </c>
      <c r="E78" s="7" t="e">
        <f ca="1">[1]!BExGetData("DP_3","00O2TQ2O5Z7FNA9G6FR9AOUY9","101")</f>
        <v>#NAME?</v>
      </c>
      <c r="F78" s="5" t="e">
        <f ca="1">[1]!BExGetData("DP_3","003N8D85VN5Y8JTZB37OIEH6O","101")</f>
        <v>#NAME?</v>
      </c>
      <c r="G78" s="5" t="e">
        <f ca="1">[1]!BExGetData("DP_3","003N8D85VN5Y8JTZB37OIENI8","101")</f>
        <v>#NAME?</v>
      </c>
      <c r="H78" s="4" t="e">
        <f ca="1">[1]!BExGetData("DP_3","003N8D85VN5Y504OEKKJ0EP6G","101")</f>
        <v>#NAME?</v>
      </c>
    </row>
    <row r="79" spans="1:8" x14ac:dyDescent="0.2">
      <c r="A79" s="2" t="s">
        <v>156</v>
      </c>
      <c r="B79" s="2" t="s">
        <v>176</v>
      </c>
      <c r="C79" s="5" t="e">
        <f ca="1">[1]!BExGetData("DP_3","00O2TQ2O5Z7FJVQ908TMEO88W","102")</f>
        <v>#NAME?</v>
      </c>
      <c r="D79" s="4" t="e">
        <f ca="1">[1]!BExGetData("DP_3","003N8D85VN5Y8JTZB37OIE4JK","102")</f>
        <v>#NAME?</v>
      </c>
      <c r="E79" s="7" t="e">
        <f ca="1">[1]!BExGetData("DP_3","00O2TQ2O5Z7FNA9G6FR9AOUY9","102")</f>
        <v>#NAME?</v>
      </c>
      <c r="F79" s="5" t="e">
        <f ca="1">[1]!BExGetData("DP_3","003N8D85VN5Y8JTZB37OIEH6O","102")</f>
        <v>#NAME?</v>
      </c>
      <c r="G79" s="5" t="e">
        <f ca="1">[1]!BExGetData("DP_3","003N8D85VN5Y8JTZB37OIENI8","102")</f>
        <v>#NAME?</v>
      </c>
      <c r="H79" s="4" t="e">
        <f ca="1">[1]!BExGetData("DP_3","003N8D85VN5Y504OEKKJ0EP6G","102")</f>
        <v>#NAME?</v>
      </c>
    </row>
    <row r="80" spans="1:8" x14ac:dyDescent="0.2">
      <c r="A80" s="2" t="s">
        <v>157</v>
      </c>
      <c r="B80" s="2" t="s">
        <v>177</v>
      </c>
      <c r="C80" s="5" t="e">
        <f ca="1">[1]!BExGetData("DP_3","00O2TQ2O5Z7FJVQ908TMEO88W","103")</f>
        <v>#NAME?</v>
      </c>
      <c r="D80" s="5" t="e">
        <f ca="1">[1]!BExGetData("DP_3","003N8D85VN5Y8JTZB37OIE4JK","103")</f>
        <v>#NAME?</v>
      </c>
      <c r="E80" s="7" t="e">
        <f ca="1">[1]!BExGetData("DP_3","00O2TQ2O5Z7FNA9G6FR9AOUY9","103")</f>
        <v>#NAME?</v>
      </c>
      <c r="F80" s="5" t="e">
        <f ca="1">[1]!BExGetData("DP_3","003N8D85VN5Y8JTZB37OIEH6O","103")</f>
        <v>#NAME?</v>
      </c>
      <c r="G80" s="5" t="e">
        <f ca="1">[1]!BExGetData("DP_3","003N8D85VN5Y8JTZB37OIENI8","103")</f>
        <v>#NAME?</v>
      </c>
      <c r="H80" s="4" t="e">
        <f ca="1">[1]!BExGetData("DP_3","003N8D85VN5Y504OEKKJ0EP6G","103")</f>
        <v>#NAME?</v>
      </c>
    </row>
    <row r="81" spans="1:8" x14ac:dyDescent="0.2">
      <c r="A81" s="2" t="s">
        <v>178</v>
      </c>
      <c r="B81" s="2" t="s">
        <v>179</v>
      </c>
      <c r="C81" s="5" t="e">
        <f ca="1">[1]!BExGetData("DP_3","00O2TQ2O5Z7FJVQ908TMEO88W","A01")</f>
        <v>#NAME?</v>
      </c>
      <c r="D81" s="5" t="e">
        <f ca="1">[1]!BExGetData("DP_3","003N8D85VN5Y8JTZB37OIE4JK","A01")</f>
        <v>#NAME?</v>
      </c>
      <c r="E81" s="7" t="e">
        <f ca="1">[1]!BExGetData("DP_3","00O2TQ2O5Z7FNA9G6FR9AOUY9","A01")</f>
        <v>#NAME?</v>
      </c>
      <c r="F81" s="5" t="e">
        <f ca="1">[1]!BExGetData("DP_3","003N8D85VN5Y8JTZB37OIEH6O","A01")</f>
        <v>#NAME?</v>
      </c>
      <c r="G81" s="5" t="e">
        <f ca="1">[1]!BExGetData("DP_3","003N8D85VN5Y8JTZB37OIENI8","A01")</f>
        <v>#NAME?</v>
      </c>
      <c r="H81" s="4" t="e">
        <f ca="1">[1]!BExGetData("DP_3","003N8D85VN5Y504OEKKJ0EP6G","A01")</f>
        <v>#NAME?</v>
      </c>
    </row>
    <row r="82" spans="1:8" x14ac:dyDescent="0.2">
      <c r="A82" s="2" t="s">
        <v>180</v>
      </c>
      <c r="B82" s="2" t="s">
        <v>181</v>
      </c>
      <c r="C82" s="5" t="e">
        <f ca="1">[1]!BExGetData("DP_3","00O2TQ2O5Z7FJVQ908TMEO88W","A13")</f>
        <v>#NAME?</v>
      </c>
      <c r="D82" s="4" t="e">
        <f ca="1">[1]!BExGetData("DP_3","003N8D85VN5Y8JTZB37OIE4JK","A13")</f>
        <v>#NAME?</v>
      </c>
      <c r="E82" s="7" t="e">
        <f ca="1">[1]!BExGetData("DP_3","00O2TQ2O5Z7FNA9G6FR9AOUY9","A13")</f>
        <v>#NAME?</v>
      </c>
      <c r="F82" s="5" t="e">
        <f ca="1">[1]!BExGetData("DP_3","003N8D85VN5Y8JTZB37OIEH6O","A13")</f>
        <v>#NAME?</v>
      </c>
      <c r="G82" s="5" t="e">
        <f ca="1">[1]!BExGetData("DP_3","003N8D85VN5Y8JTZB37OIENI8","A13")</f>
        <v>#NAME?</v>
      </c>
      <c r="H82" s="4" t="e">
        <f ca="1">[1]!BExGetData("DP_3","003N8D85VN5Y504OEKKJ0EP6G","A13")</f>
        <v>#NAME?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ADE430-FC44-433F-A4EF-FC289118CB9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Egresos x Clasif. Administrat. </vt:lpstr>
      <vt:lpstr>fuente1</vt:lpstr>
      <vt:lpstr>'Egresos x Clasif. Administrat. '!Área_de_impresión</vt:lpstr>
      <vt:lpstr>fuente1!Área_de_impresión</vt:lpstr>
      <vt:lpstr>'Egresos x Clasif. Administrat. '!Títulos_a_imprimir</vt:lpstr>
      <vt:lpstr>fuente1!Títulos_a_imprimir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Por Clasificación Administración</dc:title>
  <dc:creator>javier.ynoquio</dc:creator>
  <cp:lastModifiedBy>SAR</cp:lastModifiedBy>
  <cp:lastPrinted>2021-01-29T00:45:26Z</cp:lastPrinted>
  <dcterms:created xsi:type="dcterms:W3CDTF">2016-02-19T00:12:22Z</dcterms:created>
  <dcterms:modified xsi:type="dcterms:W3CDTF">2021-01-29T00:45:40Z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Clasif. Administrat.</vt:lpwstr>
  </property>
  <property fmtid="{D5CDD505-2E9C-101B-9397-08002B2CF9AE}" pid="3" name="BExAnalyzer_OldName">
    <vt:lpwstr>3. Clasificación Administrativa.xlsx</vt:lpwstr>
  </property>
</Properties>
</file>